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wyllemar89d\Desktop\20250211_FORMATION_BFC_AE\USB\2_SEQUENCE_FLASH'MECA\OUTIL\"/>
    </mc:Choice>
  </mc:AlternateContent>
  <xr:revisionPtr revIDLastSave="0" documentId="13_ncr:1_{425BAF46-8BE6-4EC8-9F1F-F1DA47547B25}" xr6:coauthVersionLast="47" xr6:coauthVersionMax="47" xr10:uidLastSave="{00000000-0000-0000-0000-000000000000}"/>
  <bookViews>
    <workbookView xWindow="28680" yWindow="-120" windowWidth="29040" windowHeight="15840" firstSheet="5" activeTab="5" xr2:uid="{00000000-000D-0000-FFFF-FFFF00000000}"/>
  </bookViews>
  <sheets>
    <sheet name="Typologie EA" sheetId="5" state="hidden" r:id="rId1"/>
    <sheet name="Classement EA" sheetId="4" state="hidden" r:id="rId2"/>
    <sheet name="Références Mécanisation" sheetId="1" state="hidden" r:id="rId3"/>
    <sheet name="Références Récolte Herbe" sheetId="9" state="hidden" r:id="rId4"/>
    <sheet name="Références Récolte COP" sheetId="10" state="hidden" r:id="rId5"/>
    <sheet name="Calcul FLASH'MECA" sheetId="2" r:id="rId6"/>
    <sheet name="Exemple" sheetId="12" r:id="rId7"/>
  </sheets>
  <definedNames>
    <definedName name="_xlnm.Print_Area" localSheetId="5">'Calcul FLASH''MECA'!$A$1:$S$144</definedName>
    <definedName name="_xlnm.Print_Area" localSheetId="6">Exemple!$A$1:$S$144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16" i="1" l="1"/>
  <c r="AE116" i="1"/>
  <c r="U116" i="1"/>
  <c r="AZ115" i="1"/>
  <c r="AZ116" i="1" s="1"/>
  <c r="AY115" i="1"/>
  <c r="AY116" i="1" s="1"/>
  <c r="AW115" i="1"/>
  <c r="AW116" i="1" s="1"/>
  <c r="AV115" i="1"/>
  <c r="AV116" i="1" s="1"/>
  <c r="AT115" i="1"/>
  <c r="AT116" i="1" s="1"/>
  <c r="AS115" i="1"/>
  <c r="AS116" i="1" s="1"/>
  <c r="AQ115" i="1"/>
  <c r="AQ116" i="1" s="1"/>
  <c r="AP115" i="1"/>
  <c r="AP116" i="1" s="1"/>
  <c r="AN115" i="1"/>
  <c r="AN116" i="1" s="1"/>
  <c r="AM115" i="1"/>
  <c r="AM116" i="1" s="1"/>
  <c r="AK115" i="1"/>
  <c r="AK116" i="1" s="1"/>
  <c r="AJ115" i="1"/>
  <c r="AJ116" i="1" s="1"/>
  <c r="AH115" i="1"/>
  <c r="AH116" i="1" s="1"/>
  <c r="AG115" i="1"/>
  <c r="AE115" i="1"/>
  <c r="AD115" i="1"/>
  <c r="AD116" i="1" s="1"/>
  <c r="AB115" i="1"/>
  <c r="AB116" i="1" s="1"/>
  <c r="AA115" i="1"/>
  <c r="AA116" i="1" s="1"/>
  <c r="Y115" i="1"/>
  <c r="Y116" i="1" s="1"/>
  <c r="X115" i="1"/>
  <c r="X116" i="1" s="1"/>
  <c r="V115" i="1"/>
  <c r="V116" i="1" s="1"/>
  <c r="U115" i="1"/>
  <c r="S115" i="1"/>
  <c r="S116" i="1" s="1"/>
  <c r="R115" i="1"/>
  <c r="R116" i="1" s="1"/>
  <c r="P115" i="1"/>
  <c r="P116" i="1" s="1"/>
  <c r="O115" i="1"/>
  <c r="O116" i="1" s="1"/>
  <c r="M115" i="1"/>
  <c r="M116" i="1" s="1"/>
  <c r="L115" i="1"/>
  <c r="L116" i="1" s="1"/>
  <c r="J115" i="1"/>
  <c r="J116" i="1" s="1"/>
  <c r="I115" i="1"/>
  <c r="I116" i="1" s="1"/>
  <c r="G115" i="1"/>
  <c r="G116" i="1" s="1"/>
  <c r="F115" i="1"/>
  <c r="F116" i="1" s="1"/>
  <c r="D115" i="1"/>
  <c r="D116" i="1" s="1"/>
  <c r="C115" i="1"/>
  <c r="C116" i="1" s="1"/>
  <c r="AZ110" i="1"/>
  <c r="AZ111" i="1" s="1"/>
  <c r="AY110" i="1"/>
  <c r="AY111" i="1" s="1"/>
  <c r="AW110" i="1"/>
  <c r="AW111" i="1" s="1"/>
  <c r="AV110" i="1"/>
  <c r="AV111" i="1" s="1"/>
  <c r="AT110" i="1"/>
  <c r="AS110" i="1"/>
  <c r="AQ110" i="1"/>
  <c r="AP110" i="1"/>
  <c r="AP111" i="1" s="1"/>
  <c r="AN110" i="1"/>
  <c r="AN111" i="1" s="1"/>
  <c r="AM110" i="1"/>
  <c r="AM111" i="1" s="1"/>
  <c r="AK110" i="1"/>
  <c r="AJ110" i="1"/>
  <c r="AJ111" i="1" s="1"/>
  <c r="AH110" i="1"/>
  <c r="AG110" i="1"/>
  <c r="AE110" i="1"/>
  <c r="AD110" i="1"/>
  <c r="AB110" i="1"/>
  <c r="AA110" i="1"/>
  <c r="AA111" i="1" s="1"/>
  <c r="Y110" i="1"/>
  <c r="Y111" i="1" s="1"/>
  <c r="X110" i="1"/>
  <c r="X111" i="1" s="1"/>
  <c r="V110" i="1"/>
  <c r="U110" i="1"/>
  <c r="S110" i="1"/>
  <c r="R110" i="1"/>
  <c r="R111" i="1" s="1"/>
  <c r="P110" i="1"/>
  <c r="P111" i="1" s="1"/>
  <c r="O110" i="1"/>
  <c r="O111" i="1" s="1"/>
  <c r="M110" i="1"/>
  <c r="M111" i="1" s="1"/>
  <c r="L110" i="1"/>
  <c r="L111" i="1" s="1"/>
  <c r="J110" i="1"/>
  <c r="I110" i="1"/>
  <c r="G110" i="1"/>
  <c r="F110" i="1"/>
  <c r="F111" i="1" s="1"/>
  <c r="D110" i="1"/>
  <c r="D111" i="1" s="1"/>
  <c r="C110" i="1"/>
  <c r="C111" i="1" s="1"/>
  <c r="AZ107" i="1"/>
  <c r="AY107" i="1"/>
  <c r="AY108" i="1" s="1"/>
  <c r="AW107" i="1"/>
  <c r="AW118" i="1" s="1"/>
  <c r="AW119" i="1" s="1"/>
  <c r="AV107" i="1"/>
  <c r="AT107" i="1"/>
  <c r="AT108" i="1" s="1"/>
  <c r="AS107" i="1"/>
  <c r="AQ107" i="1"/>
  <c r="AP107" i="1"/>
  <c r="AN107" i="1"/>
  <c r="AM107" i="1"/>
  <c r="AM108" i="1" s="1"/>
  <c r="AK107" i="1"/>
  <c r="AK118" i="1" s="1"/>
  <c r="AK119" i="1" s="1"/>
  <c r="AJ107" i="1"/>
  <c r="AH107" i="1"/>
  <c r="AH108" i="1" s="1"/>
  <c r="AG107" i="1"/>
  <c r="AE107" i="1"/>
  <c r="AD107" i="1"/>
  <c r="AB107" i="1"/>
  <c r="AA107" i="1"/>
  <c r="AA108" i="1" s="1"/>
  <c r="Y107" i="1"/>
  <c r="Y118" i="1" s="1"/>
  <c r="Y119" i="1" s="1"/>
  <c r="X107" i="1"/>
  <c r="V107" i="1"/>
  <c r="V108" i="1" s="1"/>
  <c r="U107" i="1"/>
  <c r="S107" i="1"/>
  <c r="R107" i="1"/>
  <c r="P107" i="1"/>
  <c r="O107" i="1"/>
  <c r="O108" i="1" s="1"/>
  <c r="M107" i="1"/>
  <c r="M118" i="1" s="1"/>
  <c r="M119" i="1" s="1"/>
  <c r="L107" i="1"/>
  <c r="J107" i="1"/>
  <c r="J108" i="1" s="1"/>
  <c r="I107" i="1"/>
  <c r="G107" i="1"/>
  <c r="F107" i="1"/>
  <c r="D107" i="1"/>
  <c r="C107" i="1"/>
  <c r="C118" i="1" s="1"/>
  <c r="C119" i="1" s="1"/>
  <c r="AZ106" i="1"/>
  <c r="AZ118" i="1" s="1"/>
  <c r="AZ119" i="1" s="1"/>
  <c r="AY106" i="1"/>
  <c r="AW106" i="1"/>
  <c r="AW122" i="1" s="1"/>
  <c r="AW123" i="1" s="1"/>
  <c r="AV106" i="1"/>
  <c r="AV118" i="1" s="1"/>
  <c r="AV119" i="1" s="1"/>
  <c r="AT106" i="1"/>
  <c r="AS106" i="1"/>
  <c r="AS122" i="1" s="1"/>
  <c r="AS123" i="1" s="1"/>
  <c r="AQ106" i="1"/>
  <c r="AQ122" i="1" s="1"/>
  <c r="AQ123" i="1" s="1"/>
  <c r="AP106" i="1"/>
  <c r="AP122" i="1" s="1"/>
  <c r="AP123" i="1" s="1"/>
  <c r="AP124" i="1" s="1"/>
  <c r="AP97" i="1" s="1"/>
  <c r="AN106" i="1"/>
  <c r="AN118" i="1" s="1"/>
  <c r="AN119" i="1" s="1"/>
  <c r="AM106" i="1"/>
  <c r="AK106" i="1"/>
  <c r="AK122" i="1" s="1"/>
  <c r="AK123" i="1" s="1"/>
  <c r="AJ106" i="1"/>
  <c r="AJ118" i="1" s="1"/>
  <c r="AJ119" i="1" s="1"/>
  <c r="AH106" i="1"/>
  <c r="AG106" i="1"/>
  <c r="AG118" i="1" s="1"/>
  <c r="AG119" i="1" s="1"/>
  <c r="AE106" i="1"/>
  <c r="AE122" i="1" s="1"/>
  <c r="AE123" i="1" s="1"/>
  <c r="AD106" i="1"/>
  <c r="AD122" i="1" s="1"/>
  <c r="AD123" i="1" s="1"/>
  <c r="AD124" i="1" s="1"/>
  <c r="AD97" i="1" s="1"/>
  <c r="AB106" i="1"/>
  <c r="AB118" i="1" s="1"/>
  <c r="AB119" i="1" s="1"/>
  <c r="AA106" i="1"/>
  <c r="Y106" i="1"/>
  <c r="Y122" i="1" s="1"/>
  <c r="Y123" i="1" s="1"/>
  <c r="X106" i="1"/>
  <c r="X118" i="1" s="1"/>
  <c r="X119" i="1" s="1"/>
  <c r="V106" i="1"/>
  <c r="V122" i="1" s="1"/>
  <c r="V123" i="1" s="1"/>
  <c r="U106" i="1"/>
  <c r="U122" i="1" s="1"/>
  <c r="U123" i="1" s="1"/>
  <c r="U124" i="1" s="1"/>
  <c r="U97" i="1" s="1"/>
  <c r="S106" i="1"/>
  <c r="S122" i="1" s="1"/>
  <c r="S123" i="1" s="1"/>
  <c r="R106" i="1"/>
  <c r="R122" i="1" s="1"/>
  <c r="R123" i="1" s="1"/>
  <c r="R124" i="1" s="1"/>
  <c r="R97" i="1" s="1"/>
  <c r="P106" i="1"/>
  <c r="P118" i="1" s="1"/>
  <c r="P119" i="1" s="1"/>
  <c r="O106" i="1"/>
  <c r="M106" i="1"/>
  <c r="M122" i="1" s="1"/>
  <c r="M123" i="1" s="1"/>
  <c r="L106" i="1"/>
  <c r="L118" i="1" s="1"/>
  <c r="L119" i="1" s="1"/>
  <c r="J106" i="1"/>
  <c r="I106" i="1"/>
  <c r="I122" i="1" s="1"/>
  <c r="I123" i="1" s="1"/>
  <c r="G106" i="1"/>
  <c r="G122" i="1" s="1"/>
  <c r="G123" i="1" s="1"/>
  <c r="F106" i="1"/>
  <c r="F122" i="1" s="1"/>
  <c r="F123" i="1" s="1"/>
  <c r="F124" i="1" s="1"/>
  <c r="F97" i="1" s="1"/>
  <c r="D106" i="1"/>
  <c r="D118" i="1" s="1"/>
  <c r="D119" i="1" s="1"/>
  <c r="AY104" i="1"/>
  <c r="AV104" i="1"/>
  <c r="AS104" i="1"/>
  <c r="AP104" i="1"/>
  <c r="AM104" i="1"/>
  <c r="AJ104" i="1"/>
  <c r="AG104" i="1"/>
  <c r="AD104" i="1"/>
  <c r="AA104" i="1"/>
  <c r="X104" i="1"/>
  <c r="U104" i="1"/>
  <c r="R104" i="1"/>
  <c r="O104" i="1"/>
  <c r="L104" i="1"/>
  <c r="I104" i="1"/>
  <c r="F104" i="1"/>
  <c r="C104" i="1"/>
  <c r="AA15" i="10"/>
  <c r="AA22" i="9"/>
  <c r="AA112" i="1" l="1"/>
  <c r="AB111" i="1"/>
  <c r="P108" i="1"/>
  <c r="O109" i="1" s="1"/>
  <c r="AN108" i="1"/>
  <c r="AM109" i="1" s="1"/>
  <c r="AK111" i="1"/>
  <c r="AG120" i="1"/>
  <c r="AG96" i="1" s="1"/>
  <c r="F118" i="1"/>
  <c r="F119" i="1" s="1"/>
  <c r="R108" i="1"/>
  <c r="AD118" i="1"/>
  <c r="AD119" i="1" s="1"/>
  <c r="AP118" i="1"/>
  <c r="AP119" i="1" s="1"/>
  <c r="C108" i="1"/>
  <c r="AK108" i="1"/>
  <c r="G111" i="1"/>
  <c r="F112" i="1" s="1"/>
  <c r="S111" i="1"/>
  <c r="R112" i="1" s="1"/>
  <c r="AE111" i="1"/>
  <c r="AQ111" i="1"/>
  <c r="Y108" i="1"/>
  <c r="AM112" i="1"/>
  <c r="D108" i="1"/>
  <c r="AB108" i="1"/>
  <c r="AA109" i="1" s="1"/>
  <c r="AZ108" i="1"/>
  <c r="AY109" i="1" s="1"/>
  <c r="J118" i="1"/>
  <c r="J119" i="1" s="1"/>
  <c r="AH118" i="1"/>
  <c r="AH119" i="1" s="1"/>
  <c r="AT118" i="1"/>
  <c r="AT119" i="1" s="1"/>
  <c r="G108" i="1"/>
  <c r="S108" i="1"/>
  <c r="AE108" i="1"/>
  <c r="AQ108" i="1"/>
  <c r="I111" i="1"/>
  <c r="I112" i="1" s="1"/>
  <c r="U111" i="1"/>
  <c r="U112" i="1" s="1"/>
  <c r="AG111" i="1"/>
  <c r="AS111" i="1"/>
  <c r="C112" i="1"/>
  <c r="AY112" i="1"/>
  <c r="L120" i="1"/>
  <c r="L96" i="1" s="1"/>
  <c r="X120" i="1"/>
  <c r="X96" i="1" s="1"/>
  <c r="AJ120" i="1"/>
  <c r="AJ96" i="1" s="1"/>
  <c r="AV120" i="1"/>
  <c r="AV96" i="1" s="1"/>
  <c r="I108" i="1"/>
  <c r="I109" i="1" s="1"/>
  <c r="U108" i="1"/>
  <c r="U109" i="1" s="1"/>
  <c r="AG108" i="1"/>
  <c r="AG109" i="1" s="1"/>
  <c r="AS108" i="1"/>
  <c r="AS109" i="1" s="1"/>
  <c r="M108" i="1"/>
  <c r="J111" i="1"/>
  <c r="V111" i="1"/>
  <c r="AH111" i="1"/>
  <c r="AT111" i="1"/>
  <c r="O112" i="1"/>
  <c r="AD111" i="1"/>
  <c r="AW108" i="1"/>
  <c r="L112" i="1"/>
  <c r="X112" i="1"/>
  <c r="AJ112" i="1"/>
  <c r="AV112" i="1"/>
  <c r="O118" i="1"/>
  <c r="O119" i="1" s="1"/>
  <c r="O120" i="1" s="1"/>
  <c r="O96" i="1" s="1"/>
  <c r="AA118" i="1"/>
  <c r="AA119" i="1" s="1"/>
  <c r="AA120" i="1" s="1"/>
  <c r="AA96" i="1" s="1"/>
  <c r="AM118" i="1"/>
  <c r="AM119" i="1" s="1"/>
  <c r="AM120" i="1" s="1"/>
  <c r="AM96" i="1" s="1"/>
  <c r="AY118" i="1"/>
  <c r="AY119" i="1" s="1"/>
  <c r="AY120" i="1" s="1"/>
  <c r="AY96" i="1" s="1"/>
  <c r="L108" i="1"/>
  <c r="L109" i="1" s="1"/>
  <c r="X108" i="1"/>
  <c r="X109" i="1" s="1"/>
  <c r="AJ108" i="1"/>
  <c r="AJ109" i="1" s="1"/>
  <c r="AV108" i="1"/>
  <c r="AV109" i="1" s="1"/>
  <c r="AP112" i="1"/>
  <c r="C120" i="1"/>
  <c r="C96" i="1" s="1"/>
  <c r="AD112" i="1"/>
  <c r="R118" i="1"/>
  <c r="R119" i="1" s="1"/>
  <c r="AG122" i="1"/>
  <c r="AG123" i="1" s="1"/>
  <c r="G118" i="1"/>
  <c r="G119" i="1" s="1"/>
  <c r="F120" i="1" s="1"/>
  <c r="F96" i="1" s="1"/>
  <c r="AQ118" i="1"/>
  <c r="AQ119" i="1" s="1"/>
  <c r="AP120" i="1" s="1"/>
  <c r="AP96" i="1" s="1"/>
  <c r="AH122" i="1"/>
  <c r="AH123" i="1" s="1"/>
  <c r="F108" i="1"/>
  <c r="F109" i="1" s="1"/>
  <c r="AD108" i="1"/>
  <c r="AD109" i="1" s="1"/>
  <c r="AP108" i="1"/>
  <c r="AP109" i="1" s="1"/>
  <c r="I118" i="1"/>
  <c r="I119" i="1" s="1"/>
  <c r="I120" i="1" s="1"/>
  <c r="I96" i="1" s="1"/>
  <c r="AG20" i="5" s="1"/>
  <c r="U118" i="1"/>
  <c r="U119" i="1" s="1"/>
  <c r="AS118" i="1"/>
  <c r="AS119" i="1" s="1"/>
  <c r="AS120" i="1" s="1"/>
  <c r="AS96" i="1" s="1"/>
  <c r="L122" i="1"/>
  <c r="L123" i="1" s="1"/>
  <c r="L124" i="1" s="1"/>
  <c r="L97" i="1" s="1"/>
  <c r="X122" i="1"/>
  <c r="X123" i="1" s="1"/>
  <c r="X124" i="1" s="1"/>
  <c r="X97" i="1" s="1"/>
  <c r="AJ122" i="1"/>
  <c r="AJ123" i="1" s="1"/>
  <c r="AJ124" i="1" s="1"/>
  <c r="AJ97" i="1" s="1"/>
  <c r="AV122" i="1"/>
  <c r="AV123" i="1" s="1"/>
  <c r="AV124" i="1" s="1"/>
  <c r="AV97" i="1" s="1"/>
  <c r="AE118" i="1"/>
  <c r="AE119" i="1" s="1"/>
  <c r="AD120" i="1" s="1"/>
  <c r="AD96" i="1" s="1"/>
  <c r="J122" i="1"/>
  <c r="J123" i="1" s="1"/>
  <c r="I124" i="1" s="1"/>
  <c r="I97" i="1" s="1"/>
  <c r="AH20" i="5" s="1"/>
  <c r="AT122" i="1"/>
  <c r="AT123" i="1" s="1"/>
  <c r="AS124" i="1" s="1"/>
  <c r="AS97" i="1" s="1"/>
  <c r="V118" i="1"/>
  <c r="V119" i="1" s="1"/>
  <c r="S118" i="1"/>
  <c r="S119" i="1" s="1"/>
  <c r="C122" i="1"/>
  <c r="C123" i="1" s="1"/>
  <c r="C124" i="1" s="1"/>
  <c r="C97" i="1" s="1"/>
  <c r="O122" i="1"/>
  <c r="O123" i="1" s="1"/>
  <c r="AA122" i="1"/>
  <c r="AA123" i="1" s="1"/>
  <c r="AM122" i="1"/>
  <c r="AM123" i="1" s="1"/>
  <c r="AY122" i="1"/>
  <c r="AY123" i="1" s="1"/>
  <c r="AY124" i="1" s="1"/>
  <c r="AY97" i="1" s="1"/>
  <c r="D122" i="1"/>
  <c r="D123" i="1" s="1"/>
  <c r="P122" i="1"/>
  <c r="P123" i="1" s="1"/>
  <c r="AB122" i="1"/>
  <c r="AB123" i="1" s="1"/>
  <c r="AN122" i="1"/>
  <c r="AN123" i="1" s="1"/>
  <c r="AZ122" i="1"/>
  <c r="AZ123" i="1" s="1"/>
  <c r="AH22" i="5"/>
  <c r="AG22" i="5"/>
  <c r="AF22" i="5"/>
  <c r="AE22" i="5"/>
  <c r="AD22" i="5"/>
  <c r="AC22" i="5"/>
  <c r="AB22" i="5"/>
  <c r="AA22" i="5"/>
  <c r="Z22" i="5"/>
  <c r="Y22" i="5"/>
  <c r="X22" i="5"/>
  <c r="W22" i="5"/>
  <c r="V22" i="5"/>
  <c r="U22" i="5"/>
  <c r="T22" i="5"/>
  <c r="S22" i="5"/>
  <c r="R22" i="5"/>
  <c r="Q22" i="5"/>
  <c r="P22" i="5"/>
  <c r="O22" i="5"/>
  <c r="N22" i="5"/>
  <c r="M22" i="5"/>
  <c r="L22" i="5"/>
  <c r="K22" i="5"/>
  <c r="J22" i="5"/>
  <c r="I22" i="5"/>
  <c r="H22" i="5"/>
  <c r="G22" i="5"/>
  <c r="F22" i="5"/>
  <c r="AG21" i="5"/>
  <c r="AF21" i="5"/>
  <c r="AE21" i="5"/>
  <c r="AD21" i="5"/>
  <c r="AC21" i="5"/>
  <c r="AB21" i="5"/>
  <c r="AA21" i="5"/>
  <c r="Z21" i="5"/>
  <c r="Y21" i="5"/>
  <c r="X21" i="5"/>
  <c r="W21" i="5"/>
  <c r="V21" i="5"/>
  <c r="U21" i="5"/>
  <c r="T21" i="5"/>
  <c r="S21" i="5"/>
  <c r="R21" i="5"/>
  <c r="Q21" i="5"/>
  <c r="P21" i="5"/>
  <c r="O21" i="5"/>
  <c r="N21" i="5"/>
  <c r="M21" i="5"/>
  <c r="L21" i="5"/>
  <c r="K21" i="5"/>
  <c r="J21" i="5"/>
  <c r="I21" i="5"/>
  <c r="H21" i="5"/>
  <c r="G21" i="5"/>
  <c r="F21" i="5"/>
  <c r="AF20" i="5"/>
  <c r="AE20" i="5"/>
  <c r="AD20" i="5"/>
  <c r="AC20" i="5"/>
  <c r="AB20" i="5"/>
  <c r="AA20" i="5"/>
  <c r="Z20" i="5"/>
  <c r="Y20" i="5"/>
  <c r="X20" i="5"/>
  <c r="W20" i="5"/>
  <c r="V20" i="5"/>
  <c r="U20" i="5"/>
  <c r="T20" i="5"/>
  <c r="S20" i="5"/>
  <c r="R20" i="5"/>
  <c r="Q20" i="5"/>
  <c r="P20" i="5"/>
  <c r="O20" i="5"/>
  <c r="N20" i="5"/>
  <c r="M20" i="5"/>
  <c r="L20" i="5"/>
  <c r="K20" i="5"/>
  <c r="J20" i="5"/>
  <c r="I20" i="5"/>
  <c r="H20" i="5"/>
  <c r="G20" i="5"/>
  <c r="F20" i="5"/>
  <c r="C109" i="1" l="1"/>
  <c r="AS112" i="1"/>
  <c r="R109" i="1"/>
  <c r="A109" i="1" s="1"/>
  <c r="AG112" i="1"/>
  <c r="A112" i="1" s="1"/>
  <c r="A124" i="1"/>
  <c r="U120" i="1"/>
  <c r="U96" i="1" s="1"/>
  <c r="AG124" i="1"/>
  <c r="AG97" i="1" s="1"/>
  <c r="R120" i="1"/>
  <c r="R96" i="1" s="1"/>
  <c r="AM124" i="1"/>
  <c r="AM97" i="1" s="1"/>
  <c r="AA124" i="1"/>
  <c r="AA97" i="1" s="1"/>
  <c r="O124" i="1"/>
  <c r="O97" i="1" s="1"/>
  <c r="AH21" i="5" s="1"/>
  <c r="AY65" i="1"/>
  <c r="AV65" i="1"/>
  <c r="AS65" i="1"/>
  <c r="AP65" i="1"/>
  <c r="AM65" i="1"/>
  <c r="AJ65" i="1"/>
  <c r="AG65" i="1"/>
  <c r="AD65" i="1"/>
  <c r="AA65" i="1"/>
  <c r="X65" i="1"/>
  <c r="U65" i="1"/>
  <c r="R65" i="1"/>
  <c r="O65" i="1"/>
  <c r="L65" i="1"/>
  <c r="I65" i="1"/>
  <c r="F65" i="1"/>
  <c r="AY62" i="1"/>
  <c r="AV62" i="1"/>
  <c r="AS62" i="1"/>
  <c r="AP62" i="1"/>
  <c r="AM62" i="1"/>
  <c r="AJ62" i="1"/>
  <c r="AG62" i="1"/>
  <c r="AD62" i="1"/>
  <c r="AA62" i="1"/>
  <c r="A120" i="1" l="1"/>
  <c r="O62" i="1"/>
  <c r="C65" i="1" l="1"/>
  <c r="I62" i="1"/>
  <c r="E22" i="5"/>
  <c r="E21" i="5"/>
  <c r="E20" i="5"/>
  <c r="D22" i="5"/>
  <c r="C22" i="5"/>
  <c r="B22" i="5"/>
  <c r="D21" i="5"/>
  <c r="D20" i="5"/>
  <c r="C21" i="5"/>
  <c r="C20" i="5"/>
  <c r="B21" i="5"/>
  <c r="B20" i="5"/>
  <c r="AH19" i="5"/>
  <c r="AG19" i="5"/>
  <c r="AF19" i="5"/>
  <c r="AE19" i="5"/>
  <c r="AD19" i="5"/>
  <c r="AC19" i="5"/>
  <c r="AB19" i="5"/>
  <c r="AA19" i="5"/>
  <c r="Z19" i="5"/>
  <c r="Y19" i="5"/>
  <c r="X19" i="5"/>
  <c r="W19" i="5"/>
  <c r="V19" i="5"/>
  <c r="U19" i="5"/>
  <c r="T19" i="5"/>
  <c r="S19" i="5"/>
  <c r="R19" i="5"/>
  <c r="Q19" i="5"/>
  <c r="P19" i="5"/>
  <c r="O19" i="5"/>
  <c r="N19" i="5"/>
  <c r="M19" i="5"/>
  <c r="L19" i="5"/>
  <c r="K19" i="5"/>
  <c r="J19" i="5"/>
  <c r="I19" i="5"/>
  <c r="H19" i="5"/>
  <c r="G19" i="5"/>
  <c r="F19" i="5"/>
  <c r="E19" i="5"/>
  <c r="D19" i="5"/>
  <c r="C19" i="5"/>
  <c r="B19" i="5"/>
  <c r="B62" i="9" l="1"/>
  <c r="AA89" i="9"/>
  <c r="C72" i="9" s="1"/>
  <c r="Z89" i="9"/>
  <c r="Z88" i="9"/>
  <c r="AA88" i="9" s="1"/>
  <c r="C71" i="9" s="1"/>
  <c r="Z87" i="9"/>
  <c r="AA87" i="9" s="1"/>
  <c r="C70" i="9" s="1"/>
  <c r="Z86" i="9"/>
  <c r="AA86" i="9" s="1"/>
  <c r="C69" i="9" s="1"/>
  <c r="Z85" i="9"/>
  <c r="AA85" i="9" s="1"/>
  <c r="C68" i="9" s="1"/>
  <c r="B68" i="9" s="1"/>
  <c r="AA71" i="9"/>
  <c r="AA54" i="9"/>
  <c r="B73" i="9" l="1"/>
  <c r="B72" i="9"/>
  <c r="B69" i="9"/>
  <c r="B71" i="9"/>
  <c r="B70" i="9"/>
  <c r="AD158" i="2"/>
  <c r="AD159" i="2"/>
  <c r="AD202" i="2" l="1"/>
  <c r="AD203" i="2"/>
  <c r="AD204" i="2"/>
  <c r="AD205" i="2"/>
  <c r="AR56" i="2"/>
  <c r="AR36" i="2"/>
  <c r="N131" i="2" l="1"/>
  <c r="AF18" i="5" l="1"/>
  <c r="AF17" i="5"/>
  <c r="AF16" i="5"/>
  <c r="AF15" i="5"/>
  <c r="AF14" i="5"/>
  <c r="AF13" i="5"/>
  <c r="AF12" i="5"/>
  <c r="AF11" i="5"/>
  <c r="AF10" i="5"/>
  <c r="AF9" i="5"/>
  <c r="AF8" i="5"/>
  <c r="AF7" i="5"/>
  <c r="AF6" i="5"/>
  <c r="AE18" i="5"/>
  <c r="AE17" i="5"/>
  <c r="AE16" i="5"/>
  <c r="AE15" i="5"/>
  <c r="AE14" i="5"/>
  <c r="AE13" i="5"/>
  <c r="AE12" i="5"/>
  <c r="AE11" i="5"/>
  <c r="AE10" i="5"/>
  <c r="AE9" i="5"/>
  <c r="AE8" i="5"/>
  <c r="AE7" i="5"/>
  <c r="AE6" i="5"/>
  <c r="AR135" i="2" l="1"/>
  <c r="AR130" i="2"/>
  <c r="AR125" i="2"/>
  <c r="AR114" i="2"/>
  <c r="AR139" i="2" s="1"/>
  <c r="AS56" i="2" s="1"/>
  <c r="AS114" i="2" l="1"/>
  <c r="AS36" i="2"/>
  <c r="AS135" i="2"/>
  <c r="AS125" i="2"/>
  <c r="AS130" i="2"/>
  <c r="S6" i="5"/>
  <c r="AD165" i="2" l="1"/>
  <c r="AV139" i="2" l="1"/>
  <c r="AD160" i="2"/>
  <c r="AD207" i="2" l="1"/>
  <c r="AD206" i="2"/>
  <c r="AD192" i="2"/>
  <c r="AU139" i="2" l="1"/>
  <c r="AP139" i="2"/>
  <c r="AQ139" i="2"/>
  <c r="AQ140" i="2" s="1"/>
  <c r="AO139" i="2"/>
  <c r="AM139" i="2"/>
  <c r="AL139" i="2"/>
  <c r="AM140" i="2" s="1"/>
  <c r="AK139" i="2"/>
  <c r="K78" i="2"/>
  <c r="L78" i="2" s="1"/>
  <c r="Y65" i="2"/>
  <c r="AD193" i="2" l="1"/>
  <c r="AD161" i="2"/>
  <c r="AC175" i="2"/>
  <c r="AC150" i="2"/>
  <c r="AD209" i="2"/>
  <c r="AD210" i="2"/>
  <c r="AD211" i="2"/>
  <c r="AD212" i="2"/>
  <c r="AD213" i="2"/>
  <c r="AD214" i="2"/>
  <c r="AD215" i="2"/>
  <c r="AD216" i="2"/>
  <c r="AD217" i="2"/>
  <c r="AD218" i="2"/>
  <c r="AD219" i="2"/>
  <c r="AD220" i="2"/>
  <c r="AD221" i="2"/>
  <c r="AD222" i="2"/>
  <c r="AD223" i="2"/>
  <c r="AD208" i="2"/>
  <c r="AD195" i="2"/>
  <c r="AD196" i="2"/>
  <c r="AD197" i="2"/>
  <c r="AD198" i="2"/>
  <c r="AD199" i="2"/>
  <c r="AD200" i="2"/>
  <c r="AD201" i="2"/>
  <c r="AD194" i="2"/>
  <c r="AD176" i="2"/>
  <c r="AD177" i="2"/>
  <c r="AD178" i="2"/>
  <c r="AD179" i="2"/>
  <c r="AD180" i="2"/>
  <c r="AD181" i="2"/>
  <c r="AD182" i="2"/>
  <c r="AD183" i="2"/>
  <c r="AD184" i="2"/>
  <c r="AD185" i="2"/>
  <c r="AD186" i="2"/>
  <c r="AD187" i="2"/>
  <c r="AD188" i="2"/>
  <c r="AD189" i="2"/>
  <c r="AD190" i="2"/>
  <c r="AD191" i="2"/>
  <c r="AD175" i="2"/>
  <c r="AI176" i="2"/>
  <c r="AC176" i="2" s="1"/>
  <c r="AD166" i="2"/>
  <c r="AD167" i="2"/>
  <c r="AD168" i="2"/>
  <c r="AD169" i="2"/>
  <c r="AD170" i="2"/>
  <c r="AD171" i="2"/>
  <c r="AD172" i="2"/>
  <c r="AD163" i="2"/>
  <c r="AD164" i="2"/>
  <c r="AD162" i="2"/>
  <c r="AD151" i="2"/>
  <c r="AD152" i="2"/>
  <c r="AD153" i="2"/>
  <c r="AD154" i="2"/>
  <c r="AD155" i="2"/>
  <c r="AD156" i="2"/>
  <c r="AD157" i="2"/>
  <c r="AD150" i="2"/>
  <c r="AI152" i="2"/>
  <c r="AI153" i="2" s="1"/>
  <c r="AI154" i="2" s="1"/>
  <c r="AI155" i="2" s="1"/>
  <c r="AI156" i="2" s="1"/>
  <c r="AI157" i="2" s="1"/>
  <c r="AC157" i="2" s="1"/>
  <c r="AI151" i="2"/>
  <c r="AC151" i="2" s="1"/>
  <c r="AC154" i="2" l="1"/>
  <c r="AC155" i="2"/>
  <c r="AC153" i="2"/>
  <c r="AC152" i="2"/>
  <c r="AI177" i="2"/>
  <c r="AI158" i="2"/>
  <c r="AJ157" i="2"/>
  <c r="AC156" i="2"/>
  <c r="BB139" i="2"/>
  <c r="BA139" i="2"/>
  <c r="AY139" i="2"/>
  <c r="AX139" i="2"/>
  <c r="AI178" i="2" l="1"/>
  <c r="AC177" i="2"/>
  <c r="AI159" i="2"/>
  <c r="AJ158" i="2"/>
  <c r="AC158" i="2"/>
  <c r="Y13" i="9"/>
  <c r="Y14" i="9"/>
  <c r="Y15" i="9"/>
  <c r="Y16" i="9"/>
  <c r="Y17" i="9"/>
  <c r="Y18" i="9"/>
  <c r="Y19" i="9"/>
  <c r="Y20" i="9"/>
  <c r="Y21" i="9"/>
  <c r="Y22" i="9"/>
  <c r="AI160" i="2" l="1"/>
  <c r="AC159" i="2"/>
  <c r="AI179" i="2"/>
  <c r="AC178" i="2"/>
  <c r="G78" i="2"/>
  <c r="N78" i="2" s="1"/>
  <c r="T67" i="2"/>
  <c r="T68" i="2"/>
  <c r="T69" i="2"/>
  <c r="T70" i="2"/>
  <c r="T71" i="2"/>
  <c r="T72" i="2"/>
  <c r="T73" i="2"/>
  <c r="T74" i="2"/>
  <c r="T65" i="2"/>
  <c r="T66" i="2"/>
  <c r="Q66" i="2"/>
  <c r="AI180" i="2" l="1"/>
  <c r="AC179" i="2"/>
  <c r="AI161" i="2"/>
  <c r="AC160" i="2"/>
  <c r="AH18" i="5"/>
  <c r="AH17" i="5"/>
  <c r="AH16" i="5"/>
  <c r="AH15" i="5"/>
  <c r="AH14" i="5"/>
  <c r="AH13" i="5"/>
  <c r="AH12" i="5"/>
  <c r="AH11" i="5"/>
  <c r="AH10" i="5"/>
  <c r="AH9" i="5"/>
  <c r="AH8" i="5"/>
  <c r="AH7" i="5"/>
  <c r="AH6" i="5"/>
  <c r="AD18" i="5"/>
  <c r="AD17" i="5"/>
  <c r="AD16" i="5"/>
  <c r="AD15" i="5"/>
  <c r="AD14" i="5"/>
  <c r="AD13" i="5"/>
  <c r="AD12" i="5"/>
  <c r="AD11" i="5"/>
  <c r="AD10" i="5"/>
  <c r="AD9" i="5"/>
  <c r="AD8" i="5"/>
  <c r="AD7" i="5"/>
  <c r="AD6" i="5"/>
  <c r="AB18" i="5"/>
  <c r="AB17" i="5"/>
  <c r="AB16" i="5"/>
  <c r="AB15" i="5"/>
  <c r="AB14" i="5"/>
  <c r="AB13" i="5"/>
  <c r="AB12" i="5"/>
  <c r="AB11" i="5"/>
  <c r="AB10" i="5"/>
  <c r="AB9" i="5"/>
  <c r="AB8" i="5"/>
  <c r="AB7" i="5"/>
  <c r="AB6" i="5"/>
  <c r="X18" i="5"/>
  <c r="X17" i="5"/>
  <c r="X16" i="5"/>
  <c r="X15" i="5"/>
  <c r="X14" i="5"/>
  <c r="X13" i="5"/>
  <c r="X12" i="5"/>
  <c r="X11" i="5"/>
  <c r="X10" i="5"/>
  <c r="X9" i="5"/>
  <c r="X8" i="5"/>
  <c r="X7" i="5"/>
  <c r="X6" i="5"/>
  <c r="V18" i="5"/>
  <c r="V17" i="5"/>
  <c r="V16" i="5"/>
  <c r="V15" i="5"/>
  <c r="V14" i="5"/>
  <c r="V13" i="5"/>
  <c r="V12" i="5"/>
  <c r="V11" i="5"/>
  <c r="V10" i="5"/>
  <c r="V9" i="5"/>
  <c r="V8" i="5"/>
  <c r="V7" i="5"/>
  <c r="V6" i="5"/>
  <c r="T18" i="5"/>
  <c r="T17" i="5"/>
  <c r="T16" i="5"/>
  <c r="T15" i="5"/>
  <c r="T14" i="5"/>
  <c r="T13" i="5"/>
  <c r="T12" i="5"/>
  <c r="T11" i="5"/>
  <c r="T10" i="5"/>
  <c r="T9" i="5"/>
  <c r="T8" i="5"/>
  <c r="T7" i="5"/>
  <c r="T6" i="5"/>
  <c r="R17" i="5"/>
  <c r="R16" i="5"/>
  <c r="R15" i="5"/>
  <c r="R14" i="5"/>
  <c r="R13" i="5"/>
  <c r="R12" i="5"/>
  <c r="R11" i="5"/>
  <c r="R10" i="5"/>
  <c r="R9" i="5"/>
  <c r="R8" i="5"/>
  <c r="R7" i="5"/>
  <c r="R6" i="5"/>
  <c r="AI162" i="2" l="1"/>
  <c r="AC161" i="2"/>
  <c r="AI181" i="2"/>
  <c r="AC180" i="2"/>
  <c r="R18" i="5"/>
  <c r="Z18" i="5"/>
  <c r="Z17" i="5"/>
  <c r="Z16" i="5"/>
  <c r="Z15" i="5"/>
  <c r="Z14" i="5"/>
  <c r="Z11" i="5"/>
  <c r="Z10" i="5"/>
  <c r="Z12" i="5"/>
  <c r="Z9" i="5"/>
  <c r="Z8" i="5"/>
  <c r="Z7" i="5"/>
  <c r="Z6" i="5"/>
  <c r="AY42" i="1"/>
  <c r="AV42" i="1"/>
  <c r="R42" i="1"/>
  <c r="Z13" i="5" l="1"/>
  <c r="AI182" i="2"/>
  <c r="AC181" i="2"/>
  <c r="AI163" i="2"/>
  <c r="AC162" i="2"/>
  <c r="AP42" i="1"/>
  <c r="AM42" i="1"/>
  <c r="AJ42" i="1"/>
  <c r="AG42" i="1"/>
  <c r="AD42" i="1"/>
  <c r="AA42" i="1"/>
  <c r="X42" i="1"/>
  <c r="U42" i="1"/>
  <c r="L42" i="1"/>
  <c r="F42" i="1"/>
  <c r="C42" i="1"/>
  <c r="AI164" i="2" l="1"/>
  <c r="AC163" i="2"/>
  <c r="AI183" i="2"/>
  <c r="AC182" i="2"/>
  <c r="X62" i="1"/>
  <c r="U62" i="1"/>
  <c r="R62" i="1"/>
  <c r="L62" i="1"/>
  <c r="F62" i="1"/>
  <c r="C62" i="1"/>
  <c r="AI184" i="2" l="1"/>
  <c r="AC183" i="2"/>
  <c r="AI165" i="2"/>
  <c r="AJ164" i="2"/>
  <c r="AC164" i="2"/>
  <c r="AG18" i="5"/>
  <c r="AC18" i="5"/>
  <c r="AA18" i="5"/>
  <c r="Y18" i="5"/>
  <c r="W18" i="5"/>
  <c r="U18" i="5"/>
  <c r="S18" i="5"/>
  <c r="Q18" i="5"/>
  <c r="P18" i="5"/>
  <c r="O18" i="5"/>
  <c r="N18" i="5"/>
  <c r="M18" i="5"/>
  <c r="L18" i="5"/>
  <c r="K18" i="5"/>
  <c r="J18" i="5"/>
  <c r="I18" i="5"/>
  <c r="H18" i="5"/>
  <c r="G18" i="5"/>
  <c r="F18" i="5"/>
  <c r="E18" i="5"/>
  <c r="D18" i="5"/>
  <c r="C18" i="5"/>
  <c r="B18" i="5"/>
  <c r="AI166" i="2" l="1"/>
  <c r="AJ165" i="2"/>
  <c r="AC165" i="2"/>
  <c r="AI185" i="2"/>
  <c r="AC184" i="2"/>
  <c r="B66" i="9"/>
  <c r="B67" i="9"/>
  <c r="AA68" i="9"/>
  <c r="AA79" i="9" s="1"/>
  <c r="AA78" i="9" l="1"/>
  <c r="AA74" i="9"/>
  <c r="AA73" i="9"/>
  <c r="AI186" i="2"/>
  <c r="AC185" i="2"/>
  <c r="AA77" i="9"/>
  <c r="AA84" i="9"/>
  <c r="AA83" i="9"/>
  <c r="AA82" i="9"/>
  <c r="AA81" i="9"/>
  <c r="AA80" i="9"/>
  <c r="AA72" i="9"/>
  <c r="AA76" i="9"/>
  <c r="AA75" i="9"/>
  <c r="AI167" i="2"/>
  <c r="AC166" i="2"/>
  <c r="C31" i="10"/>
  <c r="C30" i="10" s="1"/>
  <c r="C29" i="10" s="1"/>
  <c r="C28" i="10" s="1"/>
  <c r="C27" i="10" s="1"/>
  <c r="C26" i="10" s="1"/>
  <c r="C25" i="10" s="1"/>
  <c r="C24" i="10" s="1"/>
  <c r="C23" i="10" s="1"/>
  <c r="C22" i="10" s="1"/>
  <c r="AI168" i="2" l="1"/>
  <c r="AC167" i="2"/>
  <c r="AI187" i="2"/>
  <c r="AC186" i="2"/>
  <c r="B63" i="9"/>
  <c r="B64" i="9"/>
  <c r="B65" i="9"/>
  <c r="AA55" i="9"/>
  <c r="AA56" i="9"/>
  <c r="AA57" i="9"/>
  <c r="AA58" i="9"/>
  <c r="AA59" i="9"/>
  <c r="AA60" i="9"/>
  <c r="AA61" i="9"/>
  <c r="AA62" i="9"/>
  <c r="AA63" i="9"/>
  <c r="AA64" i="9"/>
  <c r="AA65" i="9"/>
  <c r="AA66" i="9"/>
  <c r="AI188" i="2" l="1"/>
  <c r="AC187" i="2"/>
  <c r="AI169" i="2"/>
  <c r="AC168" i="2"/>
  <c r="Q74" i="2"/>
  <c r="Q73" i="2"/>
  <c r="Q72" i="2"/>
  <c r="Q71" i="2"/>
  <c r="Q70" i="2"/>
  <c r="Q69" i="2"/>
  <c r="Q68" i="2"/>
  <c r="Q67" i="2"/>
  <c r="Q65" i="2"/>
  <c r="AI170" i="2" l="1"/>
  <c r="AC169" i="2"/>
  <c r="AI189" i="2"/>
  <c r="AC188" i="2"/>
  <c r="N25" i="2"/>
  <c r="N24" i="2"/>
  <c r="N23" i="2"/>
  <c r="N18" i="2"/>
  <c r="N19" i="2"/>
  <c r="AI190" i="2" l="1"/>
  <c r="AC189" i="2"/>
  <c r="AI171" i="2"/>
  <c r="AC170" i="2"/>
  <c r="L9" i="5"/>
  <c r="L17" i="5"/>
  <c r="L16" i="5"/>
  <c r="L13" i="5"/>
  <c r="L15" i="5"/>
  <c r="L14" i="5"/>
  <c r="L12" i="5"/>
  <c r="L11" i="5"/>
  <c r="L10" i="5"/>
  <c r="L8" i="5"/>
  <c r="L7" i="5"/>
  <c r="L6" i="5"/>
  <c r="AI172" i="2" l="1"/>
  <c r="AC171" i="2"/>
  <c r="AI191" i="2"/>
  <c r="AC190" i="2"/>
  <c r="Y13" i="10"/>
  <c r="AI192" i="2" l="1"/>
  <c r="AJ191" i="2"/>
  <c r="AC191" i="2"/>
  <c r="AJ172" i="2"/>
  <c r="AC172" i="2"/>
  <c r="K61" i="2"/>
  <c r="G61" i="2"/>
  <c r="AI193" i="2" l="1"/>
  <c r="AJ192" i="2"/>
  <c r="AC192" i="2"/>
  <c r="Q61" i="2"/>
  <c r="T61" i="2"/>
  <c r="N61" i="2"/>
  <c r="AI194" i="2" l="1"/>
  <c r="AC193" i="2"/>
  <c r="AA61" i="2"/>
  <c r="B56" i="10"/>
  <c r="B55" i="10"/>
  <c r="B54" i="10"/>
  <c r="B53" i="10"/>
  <c r="B52" i="10"/>
  <c r="B51" i="10"/>
  <c r="B50" i="10"/>
  <c r="B49" i="10"/>
  <c r="B48" i="10"/>
  <c r="B47" i="10"/>
  <c r="B46" i="10"/>
  <c r="B45" i="10"/>
  <c r="B44" i="10"/>
  <c r="B43" i="10"/>
  <c r="B42" i="10"/>
  <c r="B41" i="10"/>
  <c r="B40" i="10"/>
  <c r="B39" i="10"/>
  <c r="B38" i="10"/>
  <c r="B37" i="10"/>
  <c r="B36" i="10"/>
  <c r="B35" i="10"/>
  <c r="B34" i="10"/>
  <c r="B33" i="10"/>
  <c r="AC15" i="10"/>
  <c r="AB15" i="10"/>
  <c r="Z15" i="10"/>
  <c r="Y15" i="10"/>
  <c r="AC14" i="10"/>
  <c r="AB14" i="10"/>
  <c r="Z14" i="10"/>
  <c r="AA14" i="10" s="1"/>
  <c r="Y14" i="10"/>
  <c r="AC13" i="10"/>
  <c r="AB13" i="10"/>
  <c r="Z13" i="10"/>
  <c r="AA13" i="10" s="1"/>
  <c r="L61" i="2"/>
  <c r="AI195" i="2" l="1"/>
  <c r="AC194" i="2"/>
  <c r="AI196" i="2" l="1"/>
  <c r="AC195" i="2"/>
  <c r="K79" i="2"/>
  <c r="K80" i="2"/>
  <c r="K81" i="2"/>
  <c r="K82" i="2"/>
  <c r="K83" i="2"/>
  <c r="K84" i="2"/>
  <c r="K85" i="2"/>
  <c r="K86" i="2"/>
  <c r="K87" i="2"/>
  <c r="Y81" i="2"/>
  <c r="AI197" i="2" l="1"/>
  <c r="AC196" i="2"/>
  <c r="G81" i="2"/>
  <c r="K67" i="2"/>
  <c r="AI198" i="2" l="1"/>
  <c r="AC197" i="2"/>
  <c r="Q81" i="2"/>
  <c r="T81" i="2"/>
  <c r="N81" i="2"/>
  <c r="AG37" i="2"/>
  <c r="AG42" i="2"/>
  <c r="AG43" i="2"/>
  <c r="AG57" i="2"/>
  <c r="AG76" i="2"/>
  <c r="AG115" i="2"/>
  <c r="AG117" i="2"/>
  <c r="AG121" i="2"/>
  <c r="AG126" i="2"/>
  <c r="AG131" i="2"/>
  <c r="AG136" i="2"/>
  <c r="AI199" i="2" l="1"/>
  <c r="AC198" i="2"/>
  <c r="AA81" i="2"/>
  <c r="L87" i="2"/>
  <c r="L86" i="2"/>
  <c r="L85" i="2"/>
  <c r="L84" i="2"/>
  <c r="L83" i="2"/>
  <c r="L82" i="2"/>
  <c r="L81" i="2"/>
  <c r="L80" i="2"/>
  <c r="L79" i="2"/>
  <c r="K70" i="2"/>
  <c r="L70" i="2" s="1"/>
  <c r="AI200" i="2" l="1"/>
  <c r="AC199" i="2"/>
  <c r="Y79" i="2"/>
  <c r="Y80" i="2"/>
  <c r="Y82" i="2"/>
  <c r="Y83" i="2"/>
  <c r="Y84" i="2"/>
  <c r="Y85" i="2"/>
  <c r="Y86" i="2"/>
  <c r="Y87" i="2"/>
  <c r="Y66" i="2"/>
  <c r="Y67" i="2"/>
  <c r="Y68" i="2"/>
  <c r="Y69" i="2"/>
  <c r="Y70" i="2"/>
  <c r="Y71" i="2"/>
  <c r="Y72" i="2"/>
  <c r="Y73" i="2"/>
  <c r="Y74" i="2"/>
  <c r="Y78" i="2"/>
  <c r="X78" i="2" s="1"/>
  <c r="K65" i="2"/>
  <c r="L65" i="2" s="1"/>
  <c r="X65" i="2" s="1"/>
  <c r="K66" i="2"/>
  <c r="L67" i="2"/>
  <c r="K68" i="2"/>
  <c r="K69" i="2"/>
  <c r="L69" i="2" s="1"/>
  <c r="K71" i="2"/>
  <c r="L71" i="2" s="1"/>
  <c r="K72" i="2"/>
  <c r="L72" i="2" s="1"/>
  <c r="K73" i="2"/>
  <c r="L73" i="2" s="1"/>
  <c r="K74" i="2"/>
  <c r="L74" i="2" s="1"/>
  <c r="G79" i="2"/>
  <c r="G80" i="2"/>
  <c r="G82" i="2"/>
  <c r="G83" i="2"/>
  <c r="G84" i="2"/>
  <c r="G85" i="2"/>
  <c r="G86" i="2"/>
  <c r="G87" i="2"/>
  <c r="AI201" i="2" l="1"/>
  <c r="AC200" i="2"/>
  <c r="Y88" i="2"/>
  <c r="Q87" i="2"/>
  <c r="T87" i="2"/>
  <c r="Q84" i="2"/>
  <c r="T84" i="2"/>
  <c r="Q79" i="2"/>
  <c r="T79" i="2"/>
  <c r="Q83" i="2"/>
  <c r="T83" i="2"/>
  <c r="Q86" i="2"/>
  <c r="T86" i="2"/>
  <c r="Q82" i="2"/>
  <c r="T82" i="2"/>
  <c r="Q85" i="2"/>
  <c r="T85" i="2"/>
  <c r="Q80" i="2"/>
  <c r="T80" i="2"/>
  <c r="T78" i="2"/>
  <c r="Q78" i="2"/>
  <c r="N87" i="2"/>
  <c r="N86" i="2"/>
  <c r="N85" i="2"/>
  <c r="N84" i="2"/>
  <c r="N83" i="2"/>
  <c r="N80" i="2"/>
  <c r="N79" i="2"/>
  <c r="N82" i="2"/>
  <c r="L68" i="2"/>
  <c r="X68" i="2" s="1"/>
  <c r="L66" i="2"/>
  <c r="X66" i="2" s="1"/>
  <c r="X74" i="2"/>
  <c r="X70" i="2"/>
  <c r="X72" i="2"/>
  <c r="X73" i="2"/>
  <c r="X71" i="2"/>
  <c r="X69" i="2"/>
  <c r="X67" i="2"/>
  <c r="X86" i="2"/>
  <c r="AA78" i="2" l="1"/>
  <c r="Z78" i="2" s="1"/>
  <c r="AI202" i="2"/>
  <c r="AJ201" i="2"/>
  <c r="AC201" i="2"/>
  <c r="AA87" i="2"/>
  <c r="Z87" i="2" s="1"/>
  <c r="AA86" i="2"/>
  <c r="Z86" i="2" s="1"/>
  <c r="AA83" i="2"/>
  <c r="Z83" i="2" s="1"/>
  <c r="AA84" i="2"/>
  <c r="Z84" i="2" s="1"/>
  <c r="AA85" i="2"/>
  <c r="Z85" i="2" s="1"/>
  <c r="AA79" i="2"/>
  <c r="Z79" i="2" s="1"/>
  <c r="AA80" i="2"/>
  <c r="AA82" i="2"/>
  <c r="Z82" i="2" s="1"/>
  <c r="X84" i="2"/>
  <c r="X80" i="2"/>
  <c r="X85" i="2"/>
  <c r="Z81" i="2"/>
  <c r="X81" i="2"/>
  <c r="X83" i="2"/>
  <c r="X87" i="2"/>
  <c r="X79" i="2"/>
  <c r="X82" i="2"/>
  <c r="AI203" i="2" l="1"/>
  <c r="AJ202" i="2"/>
  <c r="AC202" i="2"/>
  <c r="X88" i="2"/>
  <c r="Z80" i="2"/>
  <c r="Z88" i="2" s="1"/>
  <c r="Z15" i="9"/>
  <c r="AA15" i="9" s="1"/>
  <c r="AB15" i="9"/>
  <c r="AC15" i="9"/>
  <c r="Z16" i="9"/>
  <c r="AA16" i="9" s="1"/>
  <c r="AB16" i="9"/>
  <c r="AC16" i="9"/>
  <c r="Z17" i="9"/>
  <c r="AA17" i="9" s="1"/>
  <c r="AB17" i="9"/>
  <c r="AC17" i="9"/>
  <c r="Z18" i="9"/>
  <c r="AA18" i="9" s="1"/>
  <c r="AB18" i="9"/>
  <c r="AC18" i="9"/>
  <c r="Z19" i="9"/>
  <c r="AA19" i="9" s="1"/>
  <c r="AB19" i="9"/>
  <c r="AC19" i="9"/>
  <c r="Z20" i="9"/>
  <c r="AA20" i="9" s="1"/>
  <c r="AB20" i="9"/>
  <c r="AC20" i="9"/>
  <c r="Z21" i="9"/>
  <c r="AA21" i="9" s="1"/>
  <c r="AB21" i="9"/>
  <c r="AC21" i="9"/>
  <c r="Z22" i="9"/>
  <c r="AB22" i="9"/>
  <c r="AC22" i="9"/>
  <c r="Z13" i="9"/>
  <c r="AA13" i="9" s="1"/>
  <c r="AB13" i="9"/>
  <c r="AC13" i="9"/>
  <c r="Z14" i="9"/>
  <c r="AA14" i="9" s="1"/>
  <c r="AC14" i="9"/>
  <c r="AB14" i="9"/>
  <c r="AI204" i="2" l="1"/>
  <c r="AC203" i="2"/>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AI205" i="2" l="1"/>
  <c r="AC204" i="2"/>
  <c r="N71" i="2"/>
  <c r="N65" i="2"/>
  <c r="N72" i="2"/>
  <c r="N67" i="2"/>
  <c r="N66" i="2"/>
  <c r="AA66" i="2" s="1"/>
  <c r="N73" i="2"/>
  <c r="N70" i="2"/>
  <c r="N74" i="2"/>
  <c r="N68" i="2"/>
  <c r="N69" i="2"/>
  <c r="B57" i="2"/>
  <c r="U65" i="2" l="1"/>
  <c r="AI206" i="2"/>
  <c r="AC205" i="2"/>
  <c r="AA68" i="2"/>
  <c r="Z68" i="2" s="1"/>
  <c r="AA74" i="2"/>
  <c r="Z74" i="2" s="1"/>
  <c r="AA67" i="2"/>
  <c r="AA70" i="2"/>
  <c r="Z70" i="2" s="1"/>
  <c r="AA72" i="2"/>
  <c r="Z72" i="2" s="1"/>
  <c r="AA69" i="2"/>
  <c r="Z69" i="2" s="1"/>
  <c r="AA73" i="2"/>
  <c r="Z73" i="2" s="1"/>
  <c r="AA65" i="2"/>
  <c r="AA71" i="2"/>
  <c r="Z71" i="2" s="1"/>
  <c r="Z66" i="2"/>
  <c r="B39" i="2"/>
  <c r="N42" i="2" s="1"/>
  <c r="AG17" i="5"/>
  <c r="AC17" i="5"/>
  <c r="AA17" i="5"/>
  <c r="Y17" i="5"/>
  <c r="W17" i="5"/>
  <c r="U17" i="5"/>
  <c r="S17" i="5"/>
  <c r="Q17" i="5"/>
  <c r="P17" i="5"/>
  <c r="O17" i="5"/>
  <c r="N17" i="5"/>
  <c r="M17" i="5"/>
  <c r="K17" i="5"/>
  <c r="J17" i="5"/>
  <c r="I17" i="5"/>
  <c r="H17" i="5"/>
  <c r="G17" i="5"/>
  <c r="F17" i="5"/>
  <c r="E17" i="5"/>
  <c r="AI207" i="2" l="1"/>
  <c r="AC206" i="2"/>
  <c r="Z65" i="2"/>
  <c r="AA88" i="2"/>
  <c r="AC76" i="2" s="1"/>
  <c r="AD76" i="2" s="1"/>
  <c r="Z67" i="2"/>
  <c r="Z75" i="2" s="1"/>
  <c r="P136" i="2"/>
  <c r="P131" i="2"/>
  <c r="P126" i="2"/>
  <c r="P117" i="2"/>
  <c r="P115" i="2"/>
  <c r="P57" i="2"/>
  <c r="P43" i="2"/>
  <c r="P42" i="2"/>
  <c r="P37" i="2"/>
  <c r="AI208" i="2" l="1"/>
  <c r="AC207" i="2"/>
  <c r="AG16" i="5"/>
  <c r="AG15" i="5"/>
  <c r="AG14" i="5"/>
  <c r="AG13" i="5"/>
  <c r="AG12" i="5"/>
  <c r="AG11" i="5"/>
  <c r="AG10" i="5"/>
  <c r="AG9" i="5"/>
  <c r="AG8" i="5"/>
  <c r="AG7" i="5"/>
  <c r="AC16" i="5"/>
  <c r="AC15" i="5"/>
  <c r="AC14" i="5"/>
  <c r="AC13" i="5"/>
  <c r="AC12" i="5"/>
  <c r="AC11" i="5"/>
  <c r="AC10" i="5"/>
  <c r="AC9" i="5"/>
  <c r="AC8" i="5"/>
  <c r="AC7" i="5"/>
  <c r="AA16" i="5"/>
  <c r="AA15" i="5"/>
  <c r="AA14" i="5"/>
  <c r="AA13" i="5"/>
  <c r="AA12" i="5"/>
  <c r="AA11" i="5"/>
  <c r="AA10" i="5"/>
  <c r="AA9" i="5"/>
  <c r="AA8" i="5"/>
  <c r="AA7" i="5"/>
  <c r="Y16" i="5"/>
  <c r="Y15" i="5"/>
  <c r="Y14" i="5"/>
  <c r="Y13" i="5"/>
  <c r="Y12" i="5"/>
  <c r="Y11" i="5"/>
  <c r="Y10" i="5"/>
  <c r="Y9" i="5"/>
  <c r="Y8" i="5"/>
  <c r="Y7" i="5"/>
  <c r="W16" i="5"/>
  <c r="W15" i="5"/>
  <c r="W14" i="5"/>
  <c r="W13" i="5"/>
  <c r="W12" i="5"/>
  <c r="W11" i="5"/>
  <c r="W10" i="5"/>
  <c r="W9" i="5"/>
  <c r="W8" i="5"/>
  <c r="W7" i="5"/>
  <c r="U16" i="5"/>
  <c r="U15" i="5"/>
  <c r="U14" i="5"/>
  <c r="U13" i="5"/>
  <c r="U12" i="5"/>
  <c r="U11" i="5"/>
  <c r="U10" i="5"/>
  <c r="U9" i="5"/>
  <c r="U8" i="5"/>
  <c r="U7" i="5"/>
  <c r="S16" i="5"/>
  <c r="S15" i="5"/>
  <c r="S14" i="5"/>
  <c r="S13" i="5"/>
  <c r="S12" i="5"/>
  <c r="S11" i="5"/>
  <c r="S10" i="5"/>
  <c r="S9" i="5"/>
  <c r="S8" i="5"/>
  <c r="S7" i="5"/>
  <c r="Q16" i="5"/>
  <c r="Q15" i="5"/>
  <c r="Q14" i="5"/>
  <c r="Q13" i="5"/>
  <c r="Q12" i="5"/>
  <c r="Q11" i="5"/>
  <c r="Q10" i="5"/>
  <c r="Q9" i="5"/>
  <c r="Q8" i="5"/>
  <c r="Q7" i="5"/>
  <c r="P16" i="5"/>
  <c r="P15" i="5"/>
  <c r="P14" i="5"/>
  <c r="P13" i="5"/>
  <c r="P12" i="5"/>
  <c r="P11" i="5"/>
  <c r="P10" i="5"/>
  <c r="P9" i="5"/>
  <c r="P8" i="5"/>
  <c r="P7" i="5"/>
  <c r="O16" i="5"/>
  <c r="O15" i="5"/>
  <c r="O14" i="5"/>
  <c r="O13" i="5"/>
  <c r="O12" i="5"/>
  <c r="O11" i="5"/>
  <c r="O10" i="5"/>
  <c r="O9" i="5"/>
  <c r="O8" i="5"/>
  <c r="O7" i="5"/>
  <c r="N16" i="5"/>
  <c r="N15" i="5"/>
  <c r="N14" i="5"/>
  <c r="N13" i="5"/>
  <c r="N12" i="5"/>
  <c r="N11" i="5"/>
  <c r="N10" i="5"/>
  <c r="N9" i="5"/>
  <c r="N8" i="5"/>
  <c r="N7" i="5"/>
  <c r="M16" i="5"/>
  <c r="M15" i="5"/>
  <c r="M14" i="5"/>
  <c r="M13" i="5"/>
  <c r="M12" i="5"/>
  <c r="M11" i="5"/>
  <c r="M10" i="5"/>
  <c r="M9" i="5"/>
  <c r="M8" i="5"/>
  <c r="M7" i="5"/>
  <c r="K16" i="5"/>
  <c r="K15" i="5"/>
  <c r="K14" i="5"/>
  <c r="K13" i="5"/>
  <c r="K12" i="5"/>
  <c r="K11" i="5"/>
  <c r="K10" i="5"/>
  <c r="K9" i="5"/>
  <c r="K8" i="5"/>
  <c r="K7" i="5"/>
  <c r="J16" i="5"/>
  <c r="J15" i="5"/>
  <c r="J14" i="5"/>
  <c r="J13" i="5"/>
  <c r="J12" i="5"/>
  <c r="J11" i="5"/>
  <c r="J10" i="5"/>
  <c r="J9" i="5"/>
  <c r="J8" i="5"/>
  <c r="J7" i="5"/>
  <c r="I16" i="5"/>
  <c r="I15" i="5"/>
  <c r="I14" i="5"/>
  <c r="I13" i="5"/>
  <c r="I12" i="5"/>
  <c r="I11" i="5"/>
  <c r="I10" i="5"/>
  <c r="I9" i="5"/>
  <c r="I8" i="5"/>
  <c r="I7" i="5"/>
  <c r="H16" i="5"/>
  <c r="H15" i="5"/>
  <c r="H14" i="5"/>
  <c r="H13" i="5"/>
  <c r="H12" i="5"/>
  <c r="H11" i="5"/>
  <c r="H10" i="5"/>
  <c r="H9" i="5"/>
  <c r="H8" i="5"/>
  <c r="H7" i="5"/>
  <c r="G16" i="5"/>
  <c r="G15" i="5"/>
  <c r="G14" i="5"/>
  <c r="G13" i="5"/>
  <c r="G12" i="5"/>
  <c r="G11" i="5"/>
  <c r="G10" i="5"/>
  <c r="G9" i="5"/>
  <c r="G8" i="5"/>
  <c r="G7" i="5"/>
  <c r="F16" i="5"/>
  <c r="F15" i="5"/>
  <c r="F14" i="5"/>
  <c r="F13" i="5"/>
  <c r="F12" i="5"/>
  <c r="F11" i="5"/>
  <c r="F10" i="5"/>
  <c r="F9" i="5"/>
  <c r="F8" i="5"/>
  <c r="F7" i="5"/>
  <c r="E16" i="5"/>
  <c r="E15" i="5"/>
  <c r="E14" i="5"/>
  <c r="E13" i="5"/>
  <c r="E12" i="5"/>
  <c r="E11" i="5"/>
  <c r="E10" i="5"/>
  <c r="E9" i="5"/>
  <c r="E8" i="5"/>
  <c r="E7" i="5"/>
  <c r="D17" i="5"/>
  <c r="C17" i="5"/>
  <c r="D16" i="5"/>
  <c r="C16" i="5"/>
  <c r="D15" i="5"/>
  <c r="C15" i="5"/>
  <c r="D14" i="5"/>
  <c r="C14" i="5"/>
  <c r="D13" i="5"/>
  <c r="C13" i="5"/>
  <c r="D12" i="5"/>
  <c r="C12" i="5"/>
  <c r="D11" i="5"/>
  <c r="C11" i="5"/>
  <c r="D10" i="5"/>
  <c r="C10" i="5"/>
  <c r="D9" i="5"/>
  <c r="C9" i="5"/>
  <c r="D8" i="5"/>
  <c r="C8" i="5"/>
  <c r="D7" i="5"/>
  <c r="C7" i="5"/>
  <c r="B17" i="5"/>
  <c r="B16" i="5"/>
  <c r="B15" i="5"/>
  <c r="B14" i="5"/>
  <c r="B13" i="5"/>
  <c r="B11" i="5"/>
  <c r="B12" i="5"/>
  <c r="B10" i="5"/>
  <c r="B9" i="5"/>
  <c r="B8" i="5"/>
  <c r="B7" i="5"/>
  <c r="AG6" i="5"/>
  <c r="AC6" i="5"/>
  <c r="AA6" i="5"/>
  <c r="Y6" i="5"/>
  <c r="W6" i="5"/>
  <c r="U6" i="5"/>
  <c r="Q6" i="5"/>
  <c r="P6" i="5"/>
  <c r="O6" i="5"/>
  <c r="N6" i="5"/>
  <c r="M6" i="5"/>
  <c r="K6" i="5"/>
  <c r="J6" i="5"/>
  <c r="I6" i="5"/>
  <c r="H6" i="5"/>
  <c r="G6" i="5"/>
  <c r="F6" i="5"/>
  <c r="E6" i="5"/>
  <c r="D6" i="5"/>
  <c r="C6" i="5"/>
  <c r="B6" i="5"/>
  <c r="B4" i="4"/>
  <c r="L135" i="2"/>
  <c r="N136" i="2" s="1"/>
  <c r="N125" i="2"/>
  <c r="N126" i="2" s="1"/>
  <c r="L120" i="2"/>
  <c r="K120" i="2"/>
  <c r="J120" i="2"/>
  <c r="I120" i="2"/>
  <c r="H120" i="2"/>
  <c r="G120" i="2"/>
  <c r="F120" i="2"/>
  <c r="E120" i="2"/>
  <c r="D120" i="2"/>
  <c r="C120" i="2"/>
  <c r="B120" i="2"/>
  <c r="L119" i="2"/>
  <c r="K119" i="2"/>
  <c r="J119" i="2"/>
  <c r="I119" i="2"/>
  <c r="H119" i="2"/>
  <c r="G119" i="2"/>
  <c r="F119" i="2"/>
  <c r="E119" i="2"/>
  <c r="D119" i="2"/>
  <c r="C119" i="2"/>
  <c r="B119" i="2"/>
  <c r="L111" i="2"/>
  <c r="L110" i="2"/>
  <c r="L109" i="2"/>
  <c r="L106" i="2"/>
  <c r="L105" i="2"/>
  <c r="L103" i="2"/>
  <c r="L101" i="2"/>
  <c r="L100" i="2"/>
  <c r="L99" i="2"/>
  <c r="L98" i="2"/>
  <c r="L97" i="2"/>
  <c r="L94" i="2"/>
  <c r="N57" i="2"/>
  <c r="U57" i="2" s="1"/>
  <c r="AE76" i="2" s="1"/>
  <c r="N43" i="2"/>
  <c r="J39" i="2"/>
  <c r="I37" i="2"/>
  <c r="H37" i="2"/>
  <c r="G37" i="2"/>
  <c r="F37" i="2"/>
  <c r="E37" i="2"/>
  <c r="D37" i="2"/>
  <c r="C37" i="2"/>
  <c r="B37" i="2"/>
  <c r="N28" i="2"/>
  <c r="N27" i="2"/>
  <c r="N26" i="2"/>
  <c r="N22" i="2"/>
  <c r="N21" i="2"/>
  <c r="N20" i="2"/>
  <c r="AI209" i="2" l="1"/>
  <c r="AC208" i="2"/>
  <c r="H122" i="2"/>
  <c r="H121" i="2"/>
  <c r="K122" i="2"/>
  <c r="K121" i="2"/>
  <c r="I122" i="2"/>
  <c r="I121" i="2"/>
  <c r="J122" i="2"/>
  <c r="J121" i="2"/>
  <c r="G122" i="2"/>
  <c r="G121" i="2"/>
  <c r="L122" i="2"/>
  <c r="L121" i="2"/>
  <c r="C122" i="2"/>
  <c r="C121" i="2"/>
  <c r="B122" i="2"/>
  <c r="B121" i="2"/>
  <c r="D122" i="2"/>
  <c r="D121" i="2"/>
  <c r="E122" i="2"/>
  <c r="E121" i="2"/>
  <c r="F122" i="2"/>
  <c r="F121" i="2"/>
  <c r="C36" i="4"/>
  <c r="Q42" i="2" s="1"/>
  <c r="D37" i="4"/>
  <c r="T43" i="2" s="1"/>
  <c r="C37" i="4"/>
  <c r="Q43" i="2" s="1"/>
  <c r="D36" i="4"/>
  <c r="T42" i="2" s="1"/>
  <c r="D55" i="4"/>
  <c r="T115" i="2" s="1"/>
  <c r="D71" i="4"/>
  <c r="T131" i="2" s="1"/>
  <c r="D76" i="4"/>
  <c r="T136" i="2" s="1"/>
  <c r="D47" i="4"/>
  <c r="T57" i="2" s="1"/>
  <c r="D65" i="4"/>
  <c r="T126" i="2" s="1"/>
  <c r="D53" i="4"/>
  <c r="T117" i="2" s="1"/>
  <c r="D32" i="4"/>
  <c r="T37" i="2" s="1"/>
  <c r="C47" i="4"/>
  <c r="Q57" i="2" s="1"/>
  <c r="C76" i="4"/>
  <c r="Q136" i="2" s="1"/>
  <c r="C55" i="4"/>
  <c r="Q115" i="2" s="1"/>
  <c r="C71" i="4"/>
  <c r="Q131" i="2" s="1"/>
  <c r="C32" i="4"/>
  <c r="Q37" i="2" s="1"/>
  <c r="C65" i="4"/>
  <c r="Q126" i="2" s="1"/>
  <c r="C53" i="4"/>
  <c r="Q117" i="2" s="1"/>
  <c r="C21" i="4"/>
  <c r="Q26" i="2" s="1"/>
  <c r="C17" i="4"/>
  <c r="Q22" i="2" s="1"/>
  <c r="C13" i="4"/>
  <c r="Q18" i="2" s="1"/>
  <c r="C24" i="4"/>
  <c r="C20" i="4"/>
  <c r="Q25" i="2" s="1"/>
  <c r="C16" i="4"/>
  <c r="Q21" i="2" s="1"/>
  <c r="B8" i="4"/>
  <c r="P13" i="2" s="1"/>
  <c r="C23" i="4"/>
  <c r="Q28" i="2" s="1"/>
  <c r="C19" i="4"/>
  <c r="Q24" i="2" s="1"/>
  <c r="C15" i="4"/>
  <c r="Q20" i="2" s="1"/>
  <c r="B7" i="4"/>
  <c r="P12" i="2" s="1"/>
  <c r="C22" i="4"/>
  <c r="Q27" i="2" s="1"/>
  <c r="C18" i="4"/>
  <c r="Q23" i="2" s="1"/>
  <c r="C14" i="4"/>
  <c r="Q19" i="2" s="1"/>
  <c r="B6" i="4"/>
  <c r="P11" i="2" s="1"/>
  <c r="N37" i="2"/>
  <c r="L96" i="2"/>
  <c r="N114" i="2" s="1"/>
  <c r="N121" i="2" s="1"/>
  <c r="AD37" i="2" l="1"/>
  <c r="AE37" i="2" s="1"/>
  <c r="AI210" i="2"/>
  <c r="AC209" i="2"/>
  <c r="AD136" i="2"/>
  <c r="AE136" i="2" s="1"/>
  <c r="AD126" i="2"/>
  <c r="AE126" i="2" s="1"/>
  <c r="AD42" i="2"/>
  <c r="AE42" i="2" s="1"/>
  <c r="AD131" i="2"/>
  <c r="AE131" i="2" s="1"/>
  <c r="AD43" i="2"/>
  <c r="AE43" i="2" s="1"/>
  <c r="AA57" i="2"/>
  <c r="AD57" i="2" s="1"/>
  <c r="AE57" i="2" s="1"/>
  <c r="Q121" i="2"/>
  <c r="T121" i="2"/>
  <c r="N117" i="2"/>
  <c r="AD117" i="2" s="1"/>
  <c r="AE117" i="2" s="1"/>
  <c r="N115" i="2"/>
  <c r="AD115" i="2" s="1"/>
  <c r="AE115" i="2" s="1"/>
  <c r="AI211" i="2" l="1"/>
  <c r="AC210" i="2"/>
  <c r="AD121" i="2"/>
  <c r="AE121" i="2" s="1"/>
  <c r="AE138" i="2" s="1"/>
  <c r="AI212" i="2" l="1"/>
  <c r="AC211" i="2"/>
  <c r="AD138" i="2"/>
  <c r="Q140" i="2" s="1"/>
  <c r="Q143" i="2"/>
  <c r="C144" i="2" s="1"/>
  <c r="AI213" i="2" l="1"/>
  <c r="AC212" i="2"/>
  <c r="B143" i="2"/>
  <c r="B140" i="2"/>
  <c r="C141" i="2"/>
  <c r="AI214" i="2" l="1"/>
  <c r="AC213" i="2"/>
  <c r="AI215" i="2" l="1"/>
  <c r="AC214" i="2"/>
  <c r="AI216" i="2" l="1"/>
  <c r="AC215" i="2"/>
  <c r="AI217" i="2" l="1"/>
  <c r="AC216" i="2"/>
  <c r="AI218" i="2" l="1"/>
  <c r="AC217" i="2"/>
  <c r="AI219" i="2" l="1"/>
  <c r="AC218" i="2"/>
  <c r="AI220" i="2" l="1"/>
  <c r="AC219" i="2"/>
  <c r="AI221" i="2" l="1"/>
  <c r="AC220" i="2"/>
  <c r="AI222" i="2" l="1"/>
  <c r="AC221" i="2"/>
  <c r="AI223" i="2" l="1"/>
  <c r="AC222" i="2"/>
  <c r="AJ223" i="2" l="1"/>
  <c r="AC22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rwy</author>
    <author>Richard Wylleman</author>
  </authors>
  <commentList>
    <comment ref="T2" authorId="0" shapeId="0" xr:uid="{00000000-0006-0000-0500-000001000000}">
      <text>
        <r>
          <rPr>
            <sz val="11"/>
            <color indexed="81"/>
            <rFont val="Arial"/>
            <family val="2"/>
          </rPr>
          <t xml:space="preserve">Pour faire apparaître les références, entrer le numéro correspondant au type d'exploitation qui décrit le plus votre cas.
Vérifier la pertinence de votre choix en vous aidant des critères de positionnement de l'exploitation calculés ci-contre,
</t>
        </r>
      </text>
    </comment>
    <comment ref="J7" authorId="0" shapeId="0" xr:uid="{00000000-0006-0000-0500-000002000000}">
      <text>
        <r>
          <rPr>
            <sz val="11"/>
            <color indexed="81"/>
            <rFont val="Arial"/>
            <family val="2"/>
          </rPr>
          <t xml:space="preserve">Pour renseigner les données, choisir une année, une campagne ou un exercice comptable / Indiquer la période 
ex : campagne 2006-2007 / récolte 2007
</t>
        </r>
      </text>
    </comment>
    <comment ref="B9" authorId="0" shapeId="0" xr:uid="{00000000-0006-0000-0500-000003000000}">
      <text>
        <r>
          <rPr>
            <sz val="11"/>
            <color indexed="81"/>
            <rFont val="Arial"/>
            <family val="2"/>
          </rPr>
          <t>Société / Nom / Prénom</t>
        </r>
      </text>
    </comment>
    <comment ref="L17" authorId="0" shapeId="0" xr:uid="{00000000-0006-0000-0500-000004000000}">
      <text>
        <r>
          <rPr>
            <sz val="11"/>
            <color indexed="81"/>
            <rFont val="Arial"/>
            <family val="2"/>
          </rPr>
          <t>SAU (en ha)</t>
        </r>
      </text>
    </comment>
    <comment ref="L18" authorId="0" shapeId="0" xr:uid="{00000000-0006-0000-0500-000005000000}">
      <text>
        <r>
          <rPr>
            <sz val="11"/>
            <color indexed="81"/>
            <rFont val="Arial"/>
            <family val="2"/>
          </rPr>
          <t>Surface en cultures (en ha)</t>
        </r>
      </text>
    </comment>
    <comment ref="L19" authorId="0" shapeId="0" xr:uid="{00000000-0006-0000-0500-000006000000}">
      <text>
        <r>
          <rPr>
            <sz val="11"/>
            <color indexed="81"/>
            <rFont val="Arial"/>
            <family val="2"/>
          </rPr>
          <t>Surface labourée (en ha)</t>
        </r>
      </text>
    </comment>
    <comment ref="L20" authorId="0" shapeId="0" xr:uid="{00000000-0006-0000-0500-000007000000}">
      <text>
        <r>
          <rPr>
            <sz val="11"/>
            <color indexed="81"/>
            <rFont val="Arial"/>
            <family val="2"/>
          </rPr>
          <t>Rendement moyen en blé sur les 3 dernières années (en qx /ha)</t>
        </r>
      </text>
    </comment>
    <comment ref="L21" authorId="0" shapeId="0" xr:uid="{00000000-0006-0000-0500-000008000000}">
      <text>
        <r>
          <rPr>
            <sz val="11"/>
            <color indexed="81"/>
            <rFont val="Arial"/>
            <family val="2"/>
          </rPr>
          <t>Surface en cultures industrielles (betteraves sucrières, oignons, …) (en ha)</t>
        </r>
      </text>
    </comment>
    <comment ref="L22" authorId="0" shapeId="0" xr:uid="{00000000-0006-0000-0500-000009000000}">
      <text>
        <r>
          <rPr>
            <sz val="11"/>
            <color indexed="81"/>
            <rFont val="Arial"/>
            <family val="2"/>
          </rPr>
          <t>Surface Fourragère Principale (en ha)</t>
        </r>
      </text>
    </comment>
    <comment ref="L23" authorId="1" shapeId="0" xr:uid="{00000000-0006-0000-0500-00000A000000}">
      <text>
        <r>
          <rPr>
            <sz val="11"/>
            <color indexed="81"/>
            <rFont val="Arial"/>
            <family val="2"/>
          </rPr>
          <t xml:space="preserve">Surface récoltée en maïs ensilage (en ha)
</t>
        </r>
      </text>
    </comment>
    <comment ref="L24" authorId="1" shapeId="0" xr:uid="{00000000-0006-0000-0500-00000B000000}">
      <text>
        <r>
          <rPr>
            <sz val="11"/>
            <color indexed="81"/>
            <rFont val="Arial"/>
            <family val="2"/>
          </rPr>
          <t>Surface en prairie temporaire (en ha)</t>
        </r>
      </text>
    </comment>
    <comment ref="L25" authorId="1" shapeId="0" xr:uid="{00000000-0006-0000-0500-00000C000000}">
      <text>
        <r>
          <rPr>
            <sz val="11"/>
            <color indexed="81"/>
            <rFont val="Arial"/>
            <family val="2"/>
          </rPr>
          <t>Quota laitier (en litres /an)</t>
        </r>
      </text>
    </comment>
    <comment ref="L26" authorId="1" shapeId="0" xr:uid="{00000000-0006-0000-0500-00000D000000}">
      <text>
        <r>
          <rPr>
            <sz val="11"/>
            <color indexed="81"/>
            <rFont val="Arial"/>
            <family val="2"/>
          </rPr>
          <t>Surface en prairie permanente (en ha)</t>
        </r>
      </text>
    </comment>
    <comment ref="L27" authorId="0" shapeId="0" xr:uid="{00000000-0006-0000-0500-00000E000000}">
      <text>
        <r>
          <rPr>
            <sz val="11"/>
            <color indexed="81"/>
            <rFont val="Arial"/>
            <family val="2"/>
          </rPr>
          <t>Chiffre d'affaires (aides compensatoires comprises) (en € /an)</t>
        </r>
      </text>
    </comment>
    <comment ref="L28" authorId="0" shapeId="0" xr:uid="{00000000-0006-0000-0500-00000F000000}">
      <text>
        <r>
          <rPr>
            <sz val="11"/>
            <color indexed="81"/>
            <rFont val="Arial"/>
            <family val="2"/>
          </rPr>
          <t>Nombre de personnes travaillant sur l'exploitation</t>
        </r>
      </text>
    </comment>
    <comment ref="B33" authorId="0" shapeId="0" xr:uid="{00000000-0006-0000-0500-000010000000}">
      <text>
        <r>
          <rPr>
            <sz val="11"/>
            <color indexed="81"/>
            <rFont val="Arial"/>
            <family val="2"/>
          </rPr>
          <t>Tous les tracteurs utilisés sur l'exploitation</t>
        </r>
      </text>
    </comment>
    <comment ref="J33" authorId="0" shapeId="0" xr:uid="{00000000-0006-0000-0500-000011000000}">
      <text>
        <r>
          <rPr>
            <sz val="11"/>
            <color indexed="81"/>
            <rFont val="Arial"/>
            <family val="2"/>
          </rPr>
          <t>Chargeur télescopique, Automoteur de pulvérisation, ...</t>
        </r>
      </text>
    </comment>
    <comment ref="B34" authorId="0" shapeId="0" xr:uid="{00000000-0006-0000-0500-000012000000}">
      <text>
        <r>
          <rPr>
            <sz val="11"/>
            <color indexed="81"/>
            <rFont val="Arial"/>
            <family val="2"/>
          </rPr>
          <t>Nombre d'heures relevées au compteur</t>
        </r>
      </text>
    </comment>
    <comment ref="B35" authorId="0" shapeId="0" xr:uid="{00000000-0006-0000-0500-000013000000}">
      <text>
        <r>
          <rPr>
            <sz val="11"/>
            <color indexed="81"/>
            <rFont val="Arial"/>
            <family val="2"/>
          </rPr>
          <t>Taux de propriété (en %)
ex : matériel acquis en individuel = 100%
ex : matériel acquis en copropriété à deux à part égales = 50% 
ex : matériel en CUMA utilisé 100 heures sur un total de 500 heures annuelles = 20%</t>
        </r>
      </text>
    </comment>
    <comment ref="B36" authorId="0" shapeId="0" xr:uid="{00000000-0006-0000-0500-000014000000}">
      <text>
        <r>
          <rPr>
            <sz val="11"/>
            <color indexed="81"/>
            <rFont val="Arial"/>
            <family val="2"/>
          </rPr>
          <t>Puissance du tracteur (en ch)</t>
        </r>
      </text>
    </comment>
    <comment ref="B40" authorId="0" shapeId="0" xr:uid="{00000000-0006-0000-0500-000015000000}">
      <text>
        <r>
          <rPr>
            <sz val="11"/>
            <color indexed="81"/>
            <rFont val="Arial"/>
            <family val="2"/>
          </rPr>
          <t>Nombre d'heures d'utilisation à l'année</t>
        </r>
      </text>
    </comment>
    <comment ref="B50" authorId="0" shapeId="0" xr:uid="{00000000-0006-0000-0500-000016000000}">
      <text>
        <r>
          <rPr>
            <sz val="11"/>
            <color indexed="81"/>
            <rFont val="Arial"/>
            <family val="2"/>
          </rPr>
          <t>Marque, modèle, largeur de coupe</t>
        </r>
      </text>
    </comment>
    <comment ref="B51" authorId="0" shapeId="0" xr:uid="{00000000-0006-0000-0500-000017000000}">
      <text>
        <r>
          <rPr>
            <sz val="11"/>
            <color indexed="81"/>
            <rFont val="Arial"/>
            <family val="2"/>
          </rPr>
          <t>Nombre d'heures relevées au compteur</t>
        </r>
      </text>
    </comment>
    <comment ref="B52" authorId="0" shapeId="0" xr:uid="{00000000-0006-0000-0500-000018000000}">
      <text>
        <r>
          <rPr>
            <sz val="11"/>
            <color indexed="81"/>
            <rFont val="Arial"/>
            <family val="2"/>
          </rPr>
          <t>Taux de propriété (en %)
ex : matériel acquis en individuel = 100%
ex : matériel acquis en copropriété à deux à part égales = 50% 
ex : matériel en CUMA utilisé 40 heures sur un total de 200 heures annuelles = 20%</t>
        </r>
      </text>
    </comment>
    <comment ref="B53" authorId="0" shapeId="0" xr:uid="{00000000-0006-0000-0500-000019000000}">
      <text>
        <r>
          <rPr>
            <sz val="11"/>
            <color indexed="81"/>
            <rFont val="Arial"/>
            <family val="2"/>
          </rPr>
          <t>Puissance de la moissonneuse-batteuse (en ch)</t>
        </r>
      </text>
    </comment>
    <comment ref="B54" authorId="0" shapeId="0" xr:uid="{00000000-0006-0000-0500-00001A000000}">
      <text>
        <r>
          <rPr>
            <sz val="11"/>
            <color indexed="81"/>
            <rFont val="Arial"/>
            <family val="2"/>
          </rPr>
          <t>Nombre d'heures d'utilisation à l'année</t>
        </r>
      </text>
    </comment>
    <comment ref="B55" authorId="0" shapeId="0" xr:uid="{00000000-0006-0000-0500-00001B000000}">
      <text>
        <r>
          <rPr>
            <sz val="11"/>
            <color indexed="81"/>
            <rFont val="Arial"/>
            <family val="2"/>
          </rPr>
          <t>Surface récoltée en été Juin-Juillet-Août (en ha)</t>
        </r>
      </text>
    </comment>
    <comment ref="B56" authorId="0" shapeId="0" xr:uid="{00000000-0006-0000-0500-00001C000000}">
      <text>
        <r>
          <rPr>
            <sz val="11"/>
            <color indexed="81"/>
            <rFont val="Arial"/>
            <family val="2"/>
          </rPr>
          <t>Surface récoltée en été en prestation de service (en ha)</t>
        </r>
      </text>
    </comment>
    <comment ref="B93" authorId="0" shapeId="0" xr:uid="{00000000-0006-0000-0500-00001D000000}">
      <text>
        <r>
          <rPr>
            <sz val="11"/>
            <color indexed="81"/>
            <rFont val="Arial"/>
            <family val="2"/>
          </rPr>
          <t xml:space="preserve">Facture annuelle de carburant (en € /an)
</t>
        </r>
        <r>
          <rPr>
            <u/>
            <sz val="11"/>
            <color indexed="81"/>
            <rFont val="Arial"/>
            <family val="2"/>
          </rPr>
          <t>NB</t>
        </r>
        <r>
          <rPr>
            <sz val="11"/>
            <color indexed="81"/>
            <rFont val="Arial"/>
            <family val="2"/>
          </rPr>
          <t xml:space="preserve"> : s'assurer que le carburant utilisé pour réaliser les prestations de services est pris en compte. Dans le cas contraire, le rajouter à la facture annuelle.</t>
        </r>
      </text>
    </comment>
    <comment ref="B94" authorId="0" shapeId="0" xr:uid="{00000000-0006-0000-0500-00001E000000}">
      <text>
        <r>
          <rPr>
            <sz val="11"/>
            <color indexed="81"/>
            <rFont val="Arial"/>
            <family val="2"/>
          </rPr>
          <t>Prix annuel moyen du litre de carburant (en € /l) ex : 0.55 €/l pour la campagne 2015-2016</t>
        </r>
      </text>
    </comment>
    <comment ref="B97" authorId="0" shapeId="0" xr:uid="{00000000-0006-0000-0500-00001F000000}">
      <text>
        <r>
          <rPr>
            <sz val="11"/>
            <color indexed="81"/>
            <rFont val="Arial"/>
            <family val="2"/>
          </rPr>
          <t xml:space="preserve">Surface </t>
        </r>
        <r>
          <rPr>
            <u/>
            <sz val="11"/>
            <color indexed="81"/>
            <rFont val="Arial"/>
            <family val="2"/>
          </rPr>
          <t>en céréales</t>
        </r>
        <r>
          <rPr>
            <sz val="11"/>
            <color indexed="81"/>
            <rFont val="Arial"/>
            <family val="2"/>
          </rPr>
          <t xml:space="preserve"> récoltée par un tiers fournissant et facturant le carburant  (en ha) </t>
        </r>
        <r>
          <rPr>
            <sz val="8"/>
            <color indexed="81"/>
            <rFont val="Tahoma"/>
            <family val="2"/>
          </rPr>
          <t xml:space="preserve">
</t>
        </r>
      </text>
    </comment>
    <comment ref="B98" authorId="0" shapeId="0" xr:uid="{00000000-0006-0000-0500-000020000000}">
      <text>
        <r>
          <rPr>
            <sz val="11"/>
            <color indexed="81"/>
            <rFont val="Arial"/>
            <family val="2"/>
          </rPr>
          <t xml:space="preserve">Surface </t>
        </r>
        <r>
          <rPr>
            <u/>
            <sz val="11"/>
            <color indexed="81"/>
            <rFont val="Arial"/>
            <family val="2"/>
          </rPr>
          <t>en maïs</t>
        </r>
        <r>
          <rPr>
            <sz val="11"/>
            <color indexed="81"/>
            <rFont val="Arial"/>
            <family val="2"/>
          </rPr>
          <t xml:space="preserve"> récoltée par un tiers fournissant et facturant le carburant  (en ha) </t>
        </r>
        <r>
          <rPr>
            <b/>
            <sz val="11"/>
            <color indexed="81"/>
            <rFont val="Arial"/>
            <family val="2"/>
          </rPr>
          <t xml:space="preserve">
</t>
        </r>
      </text>
    </comment>
    <comment ref="B99" authorId="0" shapeId="0" xr:uid="{00000000-0006-0000-0500-000021000000}">
      <text>
        <r>
          <rPr>
            <sz val="11"/>
            <color indexed="81"/>
            <rFont val="Arial"/>
            <family val="2"/>
          </rPr>
          <t xml:space="preserve">Surface </t>
        </r>
        <r>
          <rPr>
            <u/>
            <sz val="11"/>
            <color indexed="81"/>
            <rFont val="Arial"/>
            <family val="2"/>
          </rPr>
          <t>en betteraves sucrières</t>
        </r>
        <r>
          <rPr>
            <sz val="11"/>
            <color indexed="81"/>
            <rFont val="Arial"/>
            <family val="2"/>
          </rPr>
          <t xml:space="preserve"> récoltée par un tiers fournissant et facturant le carburant  (en ha) 
</t>
        </r>
      </text>
    </comment>
    <comment ref="B100" authorId="0" shapeId="0" xr:uid="{00000000-0006-0000-0500-000022000000}">
      <text>
        <r>
          <rPr>
            <sz val="11"/>
            <color indexed="81"/>
            <rFont val="Arial"/>
            <family val="2"/>
          </rPr>
          <t xml:space="preserve">Surface en maïs ensilée et récoltée par un tiers fournissant et facturant le carburant  (en ha) 
</t>
        </r>
      </text>
    </comment>
    <comment ref="B101" authorId="0" shapeId="0" xr:uid="{00000000-0006-0000-0500-000023000000}">
      <text>
        <r>
          <rPr>
            <sz val="11"/>
            <color indexed="81"/>
            <rFont val="Arial"/>
            <family val="2"/>
          </rPr>
          <t xml:space="preserve">Surface en herbe ensilée et récoltée par un tiers fournissant et facturant le carburant  (en ha) 
</t>
        </r>
      </text>
    </comment>
    <comment ref="B103" authorId="0" shapeId="0" xr:uid="{00000000-0006-0000-0500-000024000000}">
      <text>
        <r>
          <rPr>
            <sz val="11"/>
            <color indexed="81"/>
            <rFont val="Arial"/>
            <family val="2"/>
          </rPr>
          <t>Temps passé à la distribution des fourrages facturé par un tiers fournissant et facturant le carburant  (en heure)</t>
        </r>
      </text>
    </comment>
    <comment ref="B105" authorId="0" shapeId="0" xr:uid="{00000000-0006-0000-0500-000025000000}">
      <text>
        <r>
          <rPr>
            <sz val="11"/>
            <color indexed="81"/>
            <rFont val="Arial"/>
            <family val="2"/>
          </rPr>
          <t>Temps passé à la pulvérisation facturé par un tiers fournissant et facturant le carburant  (en heure)</t>
        </r>
      </text>
    </comment>
    <comment ref="B106" authorId="0" shapeId="0" xr:uid="{00000000-0006-0000-0500-000026000000}">
      <text>
        <r>
          <rPr>
            <sz val="11"/>
            <color indexed="81"/>
            <rFont val="Arial"/>
            <family val="2"/>
          </rPr>
          <t>Temps passé à la manutention facturé par un tiers fournissant et facturant le carburant  (en heure)</t>
        </r>
      </text>
    </comment>
    <comment ref="B109" authorId="0" shapeId="0" xr:uid="{00000000-0006-0000-0500-000027000000}">
      <text>
        <r>
          <rPr>
            <sz val="11"/>
            <color indexed="81"/>
            <rFont val="Arial"/>
            <family val="2"/>
          </rPr>
          <t>Puissance de traction moyenne utilisée pour effectuer les chantiers de travail du sol (déchaumage), transport ou récolte (fauche) facturés par un tiers  fournissant et facturant le carburant  (en ch)</t>
        </r>
      </text>
    </comment>
    <comment ref="E109" authorId="0" shapeId="0" xr:uid="{00000000-0006-0000-0500-000028000000}">
      <text>
        <r>
          <rPr>
            <sz val="11"/>
            <color indexed="81"/>
            <rFont val="Arial"/>
            <family val="2"/>
          </rPr>
          <t xml:space="preserve">Temps de traction facturé pour la réalisation des chantiers (en heure)
</t>
        </r>
      </text>
    </comment>
    <comment ref="L124" authorId="0" shapeId="0" xr:uid="{00000000-0006-0000-0500-000029000000}">
      <text>
        <r>
          <rPr>
            <sz val="11"/>
            <color indexed="81"/>
            <rFont val="Arial"/>
            <family val="2"/>
          </rPr>
          <t>Facture annuelle d'entretien courant du matériel (en € /an)
ex : vidanges, pièces d'usure, ...</t>
        </r>
      </text>
    </comment>
    <comment ref="L125" authorId="0" shapeId="0" xr:uid="{00000000-0006-0000-0500-00002A000000}">
      <text>
        <r>
          <rPr>
            <sz val="11"/>
            <color indexed="81"/>
            <rFont val="Arial"/>
            <family val="2"/>
          </rPr>
          <t>Facture annuelle de réparations exceptionnelles (en € /an)
ex : casse moteur, ...</t>
        </r>
      </text>
    </comment>
    <comment ref="B129" authorId="0" shapeId="0" xr:uid="{00000000-0006-0000-0500-00002B000000}">
      <text>
        <r>
          <rPr>
            <sz val="11"/>
            <color indexed="81"/>
            <rFont val="Arial"/>
            <family val="2"/>
          </rPr>
          <t>Nombre de matériels achetés en propriété ou copropriété, neufs ou d'occasion sur les 3 dernières années</t>
        </r>
      </text>
    </comment>
    <comment ref="B130" authorId="0" shapeId="0" xr:uid="{00000000-0006-0000-0500-00002C000000}">
      <text>
        <r>
          <rPr>
            <sz val="11"/>
            <color indexed="81"/>
            <rFont val="Arial"/>
            <family val="2"/>
          </rPr>
          <t>Prix d'achat cumulés des matériels achetés en propriété ou copropriété, neufs ou d'occasion sur les 3 dernières années</t>
        </r>
      </text>
    </comment>
    <comment ref="L134" authorId="0" shapeId="0" xr:uid="{00000000-0006-0000-0500-00002D000000}">
      <text>
        <r>
          <rPr>
            <sz val="11"/>
            <color indexed="81"/>
            <rFont val="Arial"/>
            <family val="2"/>
          </rPr>
          <t>Frais financiers annuels liés aux emprunts 
souscrits pour l'achat de matériel (en € /an)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rwy</author>
    <author>Richard Wylleman</author>
  </authors>
  <commentList>
    <comment ref="T2" authorId="0" shapeId="0" xr:uid="{440D0075-1479-4E64-A82B-05B52B037EC9}">
      <text>
        <r>
          <rPr>
            <sz val="11"/>
            <color indexed="81"/>
            <rFont val="Arial"/>
            <family val="2"/>
          </rPr>
          <t xml:space="preserve">Pour faire apparaître les références, entrer le numéro correspondant au type d'exploitation qui décrit le plus votre cas.
Vérifier la pertinence de votre choix en vous aidant des critères de positionnement de l'exploitation calculés ci-contre,
</t>
        </r>
      </text>
    </comment>
    <comment ref="J7" authorId="0" shapeId="0" xr:uid="{BFB9F2D9-0A40-45D0-AD4B-41CF71DC6C3F}">
      <text>
        <r>
          <rPr>
            <sz val="11"/>
            <color indexed="81"/>
            <rFont val="Arial"/>
            <family val="2"/>
          </rPr>
          <t xml:space="preserve">Pour renseigner les données, choisir une année, une campagne ou un exercice comptable / Indiquer la période 
ex : campagne 2006-2007 / récolte 2007
</t>
        </r>
      </text>
    </comment>
    <comment ref="B9" authorId="0" shapeId="0" xr:uid="{C8B9C6A7-E282-4803-84BE-9C6248B40806}">
      <text>
        <r>
          <rPr>
            <sz val="11"/>
            <color indexed="81"/>
            <rFont val="Arial"/>
            <family val="2"/>
          </rPr>
          <t>Société / Nom / Prénom</t>
        </r>
      </text>
    </comment>
    <comment ref="L17" authorId="0" shapeId="0" xr:uid="{B64C39ED-D3F3-437E-8E99-48617D747677}">
      <text>
        <r>
          <rPr>
            <sz val="11"/>
            <color indexed="81"/>
            <rFont val="Arial"/>
            <family val="2"/>
          </rPr>
          <t>SAU (en ha)</t>
        </r>
      </text>
    </comment>
    <comment ref="L18" authorId="0" shapeId="0" xr:uid="{83F75714-3934-4420-B8F3-749A4DA5F895}">
      <text>
        <r>
          <rPr>
            <sz val="11"/>
            <color indexed="81"/>
            <rFont val="Arial"/>
            <family val="2"/>
          </rPr>
          <t>Surface en cultures (en ha)</t>
        </r>
      </text>
    </comment>
    <comment ref="L19" authorId="0" shapeId="0" xr:uid="{22117480-EEF6-495A-951A-1BB82237C076}">
      <text>
        <r>
          <rPr>
            <sz val="11"/>
            <color indexed="81"/>
            <rFont val="Arial"/>
            <family val="2"/>
          </rPr>
          <t>Surface labourée (en ha)</t>
        </r>
      </text>
    </comment>
    <comment ref="L20" authorId="0" shapeId="0" xr:uid="{B0C4A97B-7DCB-4A48-AFBE-1424A0041A16}">
      <text>
        <r>
          <rPr>
            <sz val="11"/>
            <color indexed="81"/>
            <rFont val="Arial"/>
            <family val="2"/>
          </rPr>
          <t>Rendement moyen en blé sur les 3 dernières années (en qx /ha)</t>
        </r>
      </text>
    </comment>
    <comment ref="L21" authorId="0" shapeId="0" xr:uid="{EE29D4C8-1141-45EC-AC38-102AC3D845C9}">
      <text>
        <r>
          <rPr>
            <sz val="11"/>
            <color indexed="81"/>
            <rFont val="Arial"/>
            <family val="2"/>
          </rPr>
          <t>Surface en cultures industrielles (betteraves sucrières, oignons, …) (en ha)</t>
        </r>
      </text>
    </comment>
    <comment ref="L22" authorId="0" shapeId="0" xr:uid="{F55D09AA-F74F-419D-B517-3B1ABC2D4C26}">
      <text>
        <r>
          <rPr>
            <sz val="11"/>
            <color indexed="81"/>
            <rFont val="Arial"/>
            <family val="2"/>
          </rPr>
          <t>Surface Fourragère Principale (en ha)</t>
        </r>
      </text>
    </comment>
    <comment ref="L23" authorId="1" shapeId="0" xr:uid="{76897CF7-EB29-42B1-A6EB-6886D07E2DEF}">
      <text>
        <r>
          <rPr>
            <sz val="11"/>
            <color indexed="81"/>
            <rFont val="Arial"/>
            <family val="2"/>
          </rPr>
          <t xml:space="preserve">Surface récoltée en maïs ensilage (en ha)
</t>
        </r>
      </text>
    </comment>
    <comment ref="L24" authorId="1" shapeId="0" xr:uid="{BDC82916-FCBA-4403-83D8-0065D4CACC86}">
      <text>
        <r>
          <rPr>
            <sz val="11"/>
            <color indexed="81"/>
            <rFont val="Arial"/>
            <family val="2"/>
          </rPr>
          <t>Surface en prairie temporaire (en ha)</t>
        </r>
      </text>
    </comment>
    <comment ref="L25" authorId="1" shapeId="0" xr:uid="{48AAF3C8-12C4-4EF3-8142-DB3109C3DF04}">
      <text>
        <r>
          <rPr>
            <sz val="11"/>
            <color indexed="81"/>
            <rFont val="Arial"/>
            <family val="2"/>
          </rPr>
          <t>Quota laitier (en litres /an)</t>
        </r>
      </text>
    </comment>
    <comment ref="L26" authorId="1" shapeId="0" xr:uid="{775301A1-6050-4138-AF42-FD04AA243C87}">
      <text>
        <r>
          <rPr>
            <sz val="11"/>
            <color indexed="81"/>
            <rFont val="Arial"/>
            <family val="2"/>
          </rPr>
          <t>Surface en prairie permanente (en ha)</t>
        </r>
      </text>
    </comment>
    <comment ref="L27" authorId="0" shapeId="0" xr:uid="{75E1D0D4-7790-4347-925D-21083125F58A}">
      <text>
        <r>
          <rPr>
            <sz val="11"/>
            <color indexed="81"/>
            <rFont val="Arial"/>
            <family val="2"/>
          </rPr>
          <t>Chiffre d'affaires (aides compensatoires comprises) (en € /an)</t>
        </r>
      </text>
    </comment>
    <comment ref="L28" authorId="0" shapeId="0" xr:uid="{CA12C238-D1E6-4CD1-89EF-780F471C823C}">
      <text>
        <r>
          <rPr>
            <sz val="11"/>
            <color indexed="81"/>
            <rFont val="Arial"/>
            <family val="2"/>
          </rPr>
          <t>Nombre de personnes travaillant sur l'exploitation</t>
        </r>
      </text>
    </comment>
    <comment ref="B33" authorId="0" shapeId="0" xr:uid="{4EFE6BFB-318C-48E4-B463-D1E7B6A42C85}">
      <text>
        <r>
          <rPr>
            <sz val="11"/>
            <color indexed="81"/>
            <rFont val="Arial"/>
            <family val="2"/>
          </rPr>
          <t>Tous les tracteurs utilisés sur l'exploitation</t>
        </r>
      </text>
    </comment>
    <comment ref="J33" authorId="0" shapeId="0" xr:uid="{15B39C02-228A-47DB-82D9-57424D5AC16B}">
      <text>
        <r>
          <rPr>
            <sz val="11"/>
            <color indexed="81"/>
            <rFont val="Arial"/>
            <family val="2"/>
          </rPr>
          <t>Chargeur télescopique, Automoteur de pulvérisation, ...</t>
        </r>
      </text>
    </comment>
    <comment ref="B34" authorId="0" shapeId="0" xr:uid="{FD327457-7BAC-4360-A2EE-18938BF26EB4}">
      <text>
        <r>
          <rPr>
            <sz val="11"/>
            <color indexed="81"/>
            <rFont val="Arial"/>
            <family val="2"/>
          </rPr>
          <t>Nombre d'heures relevées au compteur</t>
        </r>
      </text>
    </comment>
    <comment ref="B35" authorId="0" shapeId="0" xr:uid="{99F39E59-43EC-4A06-8AB4-140B3F00284D}">
      <text>
        <r>
          <rPr>
            <sz val="11"/>
            <color indexed="81"/>
            <rFont val="Arial"/>
            <family val="2"/>
          </rPr>
          <t>Taux de propriété (en %)
ex : matériel acquis en individuel = 100%
ex : matériel acquis en copropriété à deux à part égales = 50% 
ex : matériel en CUMA utilisé 100 heures sur un total de 500 heures annuelles = 20%</t>
        </r>
      </text>
    </comment>
    <comment ref="B36" authorId="0" shapeId="0" xr:uid="{A4475ECD-90B0-4A0B-B7EE-5293947C73D5}">
      <text>
        <r>
          <rPr>
            <sz val="11"/>
            <color indexed="81"/>
            <rFont val="Arial"/>
            <family val="2"/>
          </rPr>
          <t>Puissance du tracteur (en ch)</t>
        </r>
      </text>
    </comment>
    <comment ref="B40" authorId="0" shapeId="0" xr:uid="{175D6898-AE2F-4BC1-8D4F-0F8417AF60B7}">
      <text>
        <r>
          <rPr>
            <sz val="11"/>
            <color indexed="81"/>
            <rFont val="Arial"/>
            <family val="2"/>
          </rPr>
          <t>Nombre d'heures d'utilisation à l'année</t>
        </r>
      </text>
    </comment>
    <comment ref="B50" authorId="0" shapeId="0" xr:uid="{628F5B2B-9B3E-4094-B978-0DF73E733664}">
      <text>
        <r>
          <rPr>
            <sz val="11"/>
            <color indexed="81"/>
            <rFont val="Arial"/>
            <family val="2"/>
          </rPr>
          <t>Marque, modèle, largeur de coupe</t>
        </r>
      </text>
    </comment>
    <comment ref="B51" authorId="0" shapeId="0" xr:uid="{45CECDEA-C775-496A-A91F-53094E2BDDFF}">
      <text>
        <r>
          <rPr>
            <sz val="11"/>
            <color indexed="81"/>
            <rFont val="Arial"/>
            <family val="2"/>
          </rPr>
          <t>Nombre d'heures relevées au compteur</t>
        </r>
      </text>
    </comment>
    <comment ref="B52" authorId="0" shapeId="0" xr:uid="{6BC5A4DE-1992-41BC-AEE3-FD8178E4D76B}">
      <text>
        <r>
          <rPr>
            <sz val="11"/>
            <color indexed="81"/>
            <rFont val="Arial"/>
            <family val="2"/>
          </rPr>
          <t>Taux de propriété (en %)
ex : matériel acquis en individuel = 100%
ex : matériel acquis en copropriété à deux à part égales = 50% 
ex : matériel en CUMA utilisé 40 heures sur un total de 200 heures annuelles = 20%</t>
        </r>
      </text>
    </comment>
    <comment ref="B53" authorId="0" shapeId="0" xr:uid="{1130BA1E-CACD-4AF6-9057-E91117F6044A}">
      <text>
        <r>
          <rPr>
            <sz val="11"/>
            <color indexed="81"/>
            <rFont val="Arial"/>
            <family val="2"/>
          </rPr>
          <t>Puissance de la moissonneuse-batteuse (en ch)</t>
        </r>
      </text>
    </comment>
    <comment ref="B54" authorId="0" shapeId="0" xr:uid="{AAADE56C-0610-4234-8C02-BF2DF7388282}">
      <text>
        <r>
          <rPr>
            <sz val="11"/>
            <color indexed="81"/>
            <rFont val="Arial"/>
            <family val="2"/>
          </rPr>
          <t>Nombre d'heures d'utilisation à l'année</t>
        </r>
      </text>
    </comment>
    <comment ref="B55" authorId="0" shapeId="0" xr:uid="{D601312C-2FE2-4876-B330-20ECD5D7CA37}">
      <text>
        <r>
          <rPr>
            <sz val="11"/>
            <color indexed="81"/>
            <rFont val="Arial"/>
            <family val="2"/>
          </rPr>
          <t>Surface récoltée en été Juin-Juillet-Août (en ha)</t>
        </r>
      </text>
    </comment>
    <comment ref="B56" authorId="0" shapeId="0" xr:uid="{C49C43B5-BAF2-4F4F-9214-636E29F87543}">
      <text>
        <r>
          <rPr>
            <sz val="11"/>
            <color indexed="81"/>
            <rFont val="Arial"/>
            <family val="2"/>
          </rPr>
          <t>Surface récoltée en été en prestation de service (en ha)</t>
        </r>
      </text>
    </comment>
    <comment ref="B93" authorId="0" shapeId="0" xr:uid="{C1B51DAB-B16F-492D-AF37-D4266FAB1671}">
      <text>
        <r>
          <rPr>
            <sz val="11"/>
            <color indexed="81"/>
            <rFont val="Arial"/>
            <family val="2"/>
          </rPr>
          <t xml:space="preserve">Facture annuelle de carburant (en € /an)
</t>
        </r>
        <r>
          <rPr>
            <u/>
            <sz val="11"/>
            <color indexed="81"/>
            <rFont val="Arial"/>
            <family val="2"/>
          </rPr>
          <t>NB</t>
        </r>
        <r>
          <rPr>
            <sz val="11"/>
            <color indexed="81"/>
            <rFont val="Arial"/>
            <family val="2"/>
          </rPr>
          <t xml:space="preserve"> : s'assurer que le carburant utilisé pour réaliser les prestations de services est pris en compte. Dans le cas contraire, le rajouter à la facture annuelle.</t>
        </r>
      </text>
    </comment>
    <comment ref="B94" authorId="0" shapeId="0" xr:uid="{2FA41D97-7A16-46FC-957E-82DF507F6468}">
      <text>
        <r>
          <rPr>
            <sz val="11"/>
            <color indexed="81"/>
            <rFont val="Arial"/>
            <family val="2"/>
          </rPr>
          <t>Prix annuel moyen du litre de carburant (en € /l) ex : 0.55 €/l pour la campagne 2015-2016</t>
        </r>
      </text>
    </comment>
    <comment ref="B97" authorId="0" shapeId="0" xr:uid="{D0E7AC05-3A53-4A20-A5E0-5BF93B0A89D4}">
      <text>
        <r>
          <rPr>
            <sz val="11"/>
            <color indexed="81"/>
            <rFont val="Arial"/>
            <family val="2"/>
          </rPr>
          <t xml:space="preserve">Surface </t>
        </r>
        <r>
          <rPr>
            <u/>
            <sz val="11"/>
            <color indexed="81"/>
            <rFont val="Arial"/>
            <family val="2"/>
          </rPr>
          <t>en céréales</t>
        </r>
        <r>
          <rPr>
            <sz val="11"/>
            <color indexed="81"/>
            <rFont val="Arial"/>
            <family val="2"/>
          </rPr>
          <t xml:space="preserve"> récoltée par un tiers fournissant et facturant le carburant  (en ha) </t>
        </r>
        <r>
          <rPr>
            <sz val="8"/>
            <color indexed="81"/>
            <rFont val="Tahoma"/>
            <family val="2"/>
          </rPr>
          <t xml:space="preserve">
</t>
        </r>
      </text>
    </comment>
    <comment ref="B98" authorId="0" shapeId="0" xr:uid="{5931AAC3-1CA2-4FAF-B76B-38D3BB2B5E65}">
      <text>
        <r>
          <rPr>
            <sz val="11"/>
            <color indexed="81"/>
            <rFont val="Arial"/>
            <family val="2"/>
          </rPr>
          <t xml:space="preserve">Surface </t>
        </r>
        <r>
          <rPr>
            <u/>
            <sz val="11"/>
            <color indexed="81"/>
            <rFont val="Arial"/>
            <family val="2"/>
          </rPr>
          <t>en maïs</t>
        </r>
        <r>
          <rPr>
            <sz val="11"/>
            <color indexed="81"/>
            <rFont val="Arial"/>
            <family val="2"/>
          </rPr>
          <t xml:space="preserve"> récoltée par un tiers fournissant et facturant le carburant  (en ha) </t>
        </r>
        <r>
          <rPr>
            <b/>
            <sz val="11"/>
            <color indexed="81"/>
            <rFont val="Arial"/>
            <family val="2"/>
          </rPr>
          <t xml:space="preserve">
</t>
        </r>
      </text>
    </comment>
    <comment ref="B99" authorId="0" shapeId="0" xr:uid="{738968FB-C834-423A-A17A-B8CA35880165}">
      <text>
        <r>
          <rPr>
            <sz val="11"/>
            <color indexed="81"/>
            <rFont val="Arial"/>
            <family val="2"/>
          </rPr>
          <t xml:space="preserve">Surface </t>
        </r>
        <r>
          <rPr>
            <u/>
            <sz val="11"/>
            <color indexed="81"/>
            <rFont val="Arial"/>
            <family val="2"/>
          </rPr>
          <t>en betteraves sucrières</t>
        </r>
        <r>
          <rPr>
            <sz val="11"/>
            <color indexed="81"/>
            <rFont val="Arial"/>
            <family val="2"/>
          </rPr>
          <t xml:space="preserve"> récoltée par un tiers fournissant et facturant le carburant  (en ha) 
</t>
        </r>
      </text>
    </comment>
    <comment ref="B100" authorId="0" shapeId="0" xr:uid="{261FCE6D-CE53-41E3-9EAA-AAB3E871B4BC}">
      <text>
        <r>
          <rPr>
            <sz val="11"/>
            <color indexed="81"/>
            <rFont val="Arial"/>
            <family val="2"/>
          </rPr>
          <t xml:space="preserve">Surface en maïs ensilée et récoltée par un tiers fournissant et facturant le carburant  (en ha) 
</t>
        </r>
      </text>
    </comment>
    <comment ref="B101" authorId="0" shapeId="0" xr:uid="{2F4194AE-9C78-43A4-93C6-D1551C747948}">
      <text>
        <r>
          <rPr>
            <sz val="11"/>
            <color indexed="81"/>
            <rFont val="Arial"/>
            <family val="2"/>
          </rPr>
          <t xml:space="preserve">Surface en herbe ensilée et récoltée par un tiers fournissant et facturant le carburant  (en ha) 
</t>
        </r>
      </text>
    </comment>
    <comment ref="B103" authorId="0" shapeId="0" xr:uid="{A45A4DEF-A378-40E5-AEC0-A76A2194597C}">
      <text>
        <r>
          <rPr>
            <sz val="11"/>
            <color indexed="81"/>
            <rFont val="Arial"/>
            <family val="2"/>
          </rPr>
          <t>Temps passé à la distribution des fourrages facturé par un tiers fournissant et facturant le carburant  (en heure)</t>
        </r>
      </text>
    </comment>
    <comment ref="B105" authorId="0" shapeId="0" xr:uid="{5C282FD7-4D01-46B7-BB8E-769CF108845C}">
      <text>
        <r>
          <rPr>
            <sz val="11"/>
            <color indexed="81"/>
            <rFont val="Arial"/>
            <family val="2"/>
          </rPr>
          <t>Temps passé à la pulvérisation facturé par un tiers fournissant et facturant le carburant  (en heure)</t>
        </r>
      </text>
    </comment>
    <comment ref="B106" authorId="0" shapeId="0" xr:uid="{E5D7A29E-6854-4064-BEF5-53C9DB12B010}">
      <text>
        <r>
          <rPr>
            <sz val="11"/>
            <color indexed="81"/>
            <rFont val="Arial"/>
            <family val="2"/>
          </rPr>
          <t>Temps passé à la manutention facturé par un tiers fournissant et facturant le carburant  (en heure)</t>
        </r>
      </text>
    </comment>
    <comment ref="B109" authorId="0" shapeId="0" xr:uid="{5617D79A-C820-42E7-BEA0-5B950EB9240E}">
      <text>
        <r>
          <rPr>
            <sz val="11"/>
            <color indexed="81"/>
            <rFont val="Arial"/>
            <family val="2"/>
          </rPr>
          <t>Puissance de traction moyenne utilisée pour effectuer les chantiers de travail du sol (déchaumage), transport ou récolte (fauche) facturés par un tiers  fournissant et facturant le carburant  (en ch)</t>
        </r>
      </text>
    </comment>
    <comment ref="E109" authorId="0" shapeId="0" xr:uid="{B0E0E242-B2D3-4EDE-85F0-8D6C782EFD8D}">
      <text>
        <r>
          <rPr>
            <sz val="11"/>
            <color indexed="81"/>
            <rFont val="Arial"/>
            <family val="2"/>
          </rPr>
          <t xml:space="preserve">Temps de traction facturé pour la réalisation des chantiers (en heure)
</t>
        </r>
      </text>
    </comment>
    <comment ref="L124" authorId="0" shapeId="0" xr:uid="{83967279-1095-4C75-B374-DFB816376565}">
      <text>
        <r>
          <rPr>
            <sz val="11"/>
            <color indexed="81"/>
            <rFont val="Arial"/>
            <family val="2"/>
          </rPr>
          <t>Facture annuelle d'entretien courant du matériel (en € /an)
ex : vidanges, pièces d'usure, ...</t>
        </r>
      </text>
    </comment>
    <comment ref="L125" authorId="0" shapeId="0" xr:uid="{C74F85FA-DB99-4724-BA2B-ACB99864FEAB}">
      <text>
        <r>
          <rPr>
            <sz val="11"/>
            <color indexed="81"/>
            <rFont val="Arial"/>
            <family val="2"/>
          </rPr>
          <t>Facture annuelle de réparations exceptionnelles (en € /an)
ex : casse moteur, ...</t>
        </r>
      </text>
    </comment>
    <comment ref="B129" authorId="0" shapeId="0" xr:uid="{E30B64ED-7008-4F8C-9A88-2120B0D5A48B}">
      <text>
        <r>
          <rPr>
            <sz val="11"/>
            <color indexed="81"/>
            <rFont val="Arial"/>
            <family val="2"/>
          </rPr>
          <t>Nombre de matériels achetés en propriété ou copropriété, neufs ou d'occasion sur les 3 dernières années</t>
        </r>
      </text>
    </comment>
    <comment ref="B130" authorId="0" shapeId="0" xr:uid="{7BCBB554-C2FB-4459-8C81-50886BB24585}">
      <text>
        <r>
          <rPr>
            <sz val="11"/>
            <color indexed="81"/>
            <rFont val="Arial"/>
            <family val="2"/>
          </rPr>
          <t>Prix d'achat cumulés des matériels achetés en propriété ou copropriété, neufs ou d'occasion sur les 3 dernières années</t>
        </r>
      </text>
    </comment>
    <comment ref="L134" authorId="0" shapeId="0" xr:uid="{D9A134A2-A1CD-4C9C-ADC4-A2A318E0F936}">
      <text>
        <r>
          <rPr>
            <sz val="11"/>
            <color indexed="81"/>
            <rFont val="Arial"/>
            <family val="2"/>
          </rPr>
          <t>Frais financiers annuels liés aux emprunts 
souscrits pour l'achat de matériel (en € /an)</t>
        </r>
      </text>
    </comment>
  </commentList>
</comments>
</file>

<file path=xl/sharedStrings.xml><?xml version="1.0" encoding="utf-8"?>
<sst xmlns="http://schemas.openxmlformats.org/spreadsheetml/2006/main" count="2684" uniqueCount="439">
  <si>
    <t>Flash' Méca</t>
  </si>
  <si>
    <t>Références</t>
  </si>
  <si>
    <t>F 1</t>
  </si>
  <si>
    <t>F 1.1</t>
  </si>
  <si>
    <t>F3</t>
  </si>
  <si>
    <t>F 7-8-9</t>
  </si>
  <si>
    <t>F 28</t>
  </si>
  <si>
    <t>F 20</t>
  </si>
  <si>
    <t>F 10</t>
  </si>
  <si>
    <t>F 17-18</t>
  </si>
  <si>
    <t>F 21</t>
  </si>
  <si>
    <t>F 22-23</t>
  </si>
  <si>
    <t>F 25</t>
  </si>
  <si>
    <t>F 26</t>
  </si>
  <si>
    <t>Plateaux de Bourgogne</t>
  </si>
  <si>
    <t>Zones de Plaines, Vallées</t>
  </si>
  <si>
    <t>(petits fruits, porte-graines, …)</t>
  </si>
  <si>
    <r>
      <rPr>
        <sz val="10"/>
        <rFont val="Arial"/>
        <family val="2"/>
      </rPr>
      <t>(porcs ou volailles)</t>
    </r>
    <r>
      <rPr>
        <b/>
        <sz val="11"/>
        <rFont val="Arial"/>
        <family val="2"/>
      </rPr>
      <t xml:space="preserve"> ou vigne</t>
    </r>
  </si>
  <si>
    <t>Puisaye, Florentinois</t>
  </si>
  <si>
    <t>Critères de "positionnement" de l'exploitation</t>
  </si>
  <si>
    <t>SAU</t>
  </si>
  <si>
    <t>Surface en cultures</t>
  </si>
  <si>
    <t>%</t>
  </si>
  <si>
    <t>Surface labourée</t>
  </si>
  <si>
    <t>&gt; 50</t>
  </si>
  <si>
    <t>ND</t>
  </si>
  <si>
    <t>Rendement moyen en blé</t>
  </si>
  <si>
    <t>qx/ha</t>
  </si>
  <si>
    <t>&gt; 70</t>
  </si>
  <si>
    <t>% de cultures industrielles (Betteraves sucrières) /SAU</t>
  </si>
  <si>
    <t>SFP</t>
  </si>
  <si>
    <t>&gt; 90</t>
  </si>
  <si>
    <t>% de mäis ensilage /SFP</t>
  </si>
  <si>
    <t>&lt; 5</t>
  </si>
  <si>
    <t>&lt; 10</t>
  </si>
  <si>
    <t>% de PT ensilage /SFP</t>
  </si>
  <si>
    <t>0 à 20</t>
  </si>
  <si>
    <t>STH</t>
  </si>
  <si>
    <t>20 à 40</t>
  </si>
  <si>
    <r>
      <t xml:space="preserve">Produit brut </t>
    </r>
    <r>
      <rPr>
        <sz val="8"/>
        <rFont val="Arial"/>
        <family val="2"/>
      </rPr>
      <t>(année 2010)</t>
    </r>
  </si>
  <si>
    <t>€/ha SAU</t>
  </si>
  <si>
    <t>1 100 à 1 500</t>
  </si>
  <si>
    <t>Nombre d'hectare /Unité de main d'œuvre</t>
  </si>
  <si>
    <t>ha/UMO</t>
  </si>
  <si>
    <t>Travaux par tiers</t>
  </si>
  <si>
    <t>Poste "Traction"</t>
  </si>
  <si>
    <r>
      <t>Puissance de traction</t>
    </r>
    <r>
      <rPr>
        <sz val="11"/>
        <color theme="1"/>
        <rFont val="Calibri"/>
        <family val="2"/>
        <scheme val="minor"/>
      </rPr>
      <t xml:space="preserve"> (ch /ha de SAU)</t>
    </r>
  </si>
  <si>
    <t>Identification des tracteurs + automoteurs</t>
  </si>
  <si>
    <t>Age (Nombre d'heures /compteur)</t>
  </si>
  <si>
    <t>Puissance des tracteurs + 50% automoteurs</t>
  </si>
  <si>
    <t>&lt;</t>
  </si>
  <si>
    <t>ch /ha SAU</t>
  </si>
  <si>
    <r>
      <t>Utilisation annuelle tracteurs</t>
    </r>
    <r>
      <rPr>
        <sz val="11"/>
        <color theme="1"/>
        <rFont val="Calibri"/>
        <family val="2"/>
        <scheme val="minor"/>
      </rPr>
      <t xml:space="preserve"> (Nbre d'heures /tracteur/an)</t>
    </r>
  </si>
  <si>
    <t>Nombre de tracteurs</t>
  </si>
  <si>
    <t>Nombre d'heures effectuées à l'année /tracteur</t>
  </si>
  <si>
    <t>&gt;</t>
  </si>
  <si>
    <t>heures</t>
  </si>
  <si>
    <t>Nombre d'heures effectuées à l'année /ha de SAU</t>
  </si>
  <si>
    <t>Poste "Récolte"</t>
  </si>
  <si>
    <r>
      <t>Puissance par ha moissonné</t>
    </r>
    <r>
      <rPr>
        <sz val="11"/>
        <color theme="1"/>
        <rFont val="Calibri"/>
        <family val="2"/>
        <scheme val="minor"/>
      </rPr>
      <t xml:space="preserve"> (ch /ha récolté en été)</t>
    </r>
  </si>
  <si>
    <t>Age de la MB (Nombre d'heures /compteur)</t>
  </si>
  <si>
    <t>Puissance de la MB</t>
  </si>
  <si>
    <t>Nombre d'heures effectuées à l'année</t>
  </si>
  <si>
    <t>Surface récoltée en "été"</t>
  </si>
  <si>
    <t>ch/ha</t>
  </si>
  <si>
    <t>Poste "Carburant"</t>
  </si>
  <si>
    <t>Frais de Carburant</t>
  </si>
  <si>
    <t>Facture annuelle de carburant</t>
  </si>
  <si>
    <t>€/ha</t>
  </si>
  <si>
    <t xml:space="preserve">Prix moyen </t>
  </si>
  <si>
    <t>Carburant utilisé</t>
  </si>
  <si>
    <t>l/ha</t>
  </si>
  <si>
    <t>Utilisation de la puissance</t>
  </si>
  <si>
    <t>Consommation théorique de carburant (en l/an)</t>
  </si>
  <si>
    <t>Puissance totale tracteurs + automoteurs</t>
  </si>
  <si>
    <t>X 0,08</t>
  </si>
  <si>
    <t>X Moyenne Nombre d'heures (tracteurs + automoteurs)</t>
  </si>
  <si>
    <t>à calculer</t>
  </si>
  <si>
    <t>l/an</t>
  </si>
  <si>
    <t>Frais d'Entretien-Réparations</t>
  </si>
  <si>
    <t>Facture annuelle entretien-réparations</t>
  </si>
  <si>
    <t>Facture annuelle entretien-réparations exceptionnelle</t>
  </si>
  <si>
    <t>Nombre de matériels de - de 5 ans</t>
  </si>
  <si>
    <t>Nombre de matériels au total sur l'exploitation</t>
  </si>
  <si>
    <t>Nombre de matériels achetés neufs depuis moins de 5 ans</t>
  </si>
  <si>
    <t>Frais financiers annuels / Chiffre d'Affaires</t>
  </si>
  <si>
    <t>Frais financiers annuels liés aux emprunts sur du matériel</t>
  </si>
  <si>
    <t>Chiffre d'Affaires global</t>
  </si>
  <si>
    <t xml:space="preserve">                        </t>
  </si>
  <si>
    <r>
      <t>NB</t>
    </r>
    <r>
      <rPr>
        <sz val="11"/>
        <color theme="1"/>
        <rFont val="Calibri"/>
        <family val="2"/>
        <scheme val="minor"/>
      </rPr>
      <t xml:space="preserve"> : ND = non discriminant / critère non utilisé pour positionner l'exploitation agricole</t>
    </r>
  </si>
  <si>
    <t>"jaune" / Cellule à renseigner</t>
  </si>
  <si>
    <t>Données</t>
  </si>
  <si>
    <t>Résultats</t>
  </si>
  <si>
    <t>Type d'EA</t>
  </si>
  <si>
    <t>Exploitation grandes cultures</t>
  </si>
  <si>
    <t>Exploitation polyculture - élevage</t>
  </si>
  <si>
    <t>ha</t>
  </si>
  <si>
    <t>+ bovins viande / ovins</t>
  </si>
  <si>
    <t>Cultures industrielles (Betteraves sucrières, oignons, ...)</t>
  </si>
  <si>
    <t>+ cultures particulières</t>
  </si>
  <si>
    <t>Surface en maïs ensilage</t>
  </si>
  <si>
    <t>Surface en prairie temporaire</t>
  </si>
  <si>
    <t>Chiffre d'Affaires (Aides compensatoires comprises)</t>
  </si>
  <si>
    <t>€/an</t>
  </si>
  <si>
    <t>Main d'œuvre</t>
  </si>
  <si>
    <t>UMO</t>
  </si>
  <si>
    <t>Tracteurs + Automoteurs de manutention et/ou pulvérisation</t>
  </si>
  <si>
    <t>Tracteurs</t>
  </si>
  <si>
    <t>Automoteurs</t>
  </si>
  <si>
    <t>Age (Nombre d'heures au compteur)</t>
  </si>
  <si>
    <t>h</t>
  </si>
  <si>
    <t>Taux de propriété</t>
  </si>
  <si>
    <t>Puissance</t>
  </si>
  <si>
    <t>ch</t>
  </si>
  <si>
    <r>
      <t>Puissance de traction</t>
    </r>
    <r>
      <rPr>
        <sz val="11"/>
        <color theme="1"/>
        <rFont val="Calibri"/>
        <family val="2"/>
        <scheme val="minor"/>
      </rPr>
      <t xml:space="preserve"> (en ch /ha de SAU)</t>
    </r>
  </si>
  <si>
    <t>ch /ha de SAU</t>
  </si>
  <si>
    <t>Utilisation annuelle des tracteurs</t>
  </si>
  <si>
    <t>en nombre d'heures effectuées à l'année /tracteur</t>
  </si>
  <si>
    <t>h/tracteur</t>
  </si>
  <si>
    <t>heures /tracteur</t>
  </si>
  <si>
    <t>en nombre d'heures effectuées à l'année /ha de SAU</t>
  </si>
  <si>
    <t>h/ha</t>
  </si>
  <si>
    <t>heures /ha</t>
  </si>
  <si>
    <t>Moissonneuse-batteuse</t>
  </si>
  <si>
    <t>heures /an</t>
  </si>
  <si>
    <t>ha de blé-orge-colza</t>
  </si>
  <si>
    <t>ha de blé-orge-colza en prestations de service</t>
  </si>
  <si>
    <r>
      <t>Puissance de récolte</t>
    </r>
    <r>
      <rPr>
        <sz val="11"/>
        <color theme="1"/>
        <rFont val="Calibri"/>
        <family val="2"/>
        <scheme val="minor"/>
      </rPr>
      <t xml:space="preserve"> (ch /ha récolté en été)</t>
    </r>
  </si>
  <si>
    <t>Facture de carburant (€ /an)</t>
  </si>
  <si>
    <t>Prix moyen du litre</t>
  </si>
  <si>
    <t>€/litre</t>
  </si>
  <si>
    <t>Carburant facturé par des tiers (litres /an)</t>
  </si>
  <si>
    <t>Récolte Céréales Oléo-Protégineux (MB)</t>
  </si>
  <si>
    <t>ha /an</t>
  </si>
  <si>
    <t>Récolte maïs (Cueilleur)</t>
  </si>
  <si>
    <t>Récolte BS (Arracheuse automotrice)</t>
  </si>
  <si>
    <t>Ensilage maïs (Ensileuse automotrice)</t>
  </si>
  <si>
    <t>Ensilage herbe (Ensileuse automotrice</t>
  </si>
  <si>
    <t>Distribution des fourrages (Automotrice désileuse mélangeuse)</t>
  </si>
  <si>
    <t>he /an</t>
  </si>
  <si>
    <t>l/he</t>
  </si>
  <si>
    <t>Pulvérisation (Automoteur)</t>
  </si>
  <si>
    <t>Manutention (Chargeur télescopique)</t>
  </si>
  <si>
    <t>Chantier de … (Tracteur + outil)</t>
  </si>
  <si>
    <t>Travail du sol, transport, récolte</t>
  </si>
  <si>
    <t>Fertilisation, semis</t>
  </si>
  <si>
    <t>Manutention</t>
  </si>
  <si>
    <t>Carburant total utilisé sur l'exploitation</t>
  </si>
  <si>
    <t>en litres /an</t>
  </si>
  <si>
    <t>en litres /ha</t>
  </si>
  <si>
    <r>
      <t xml:space="preserve">Facture annuelle de carburant </t>
    </r>
    <r>
      <rPr>
        <sz val="10"/>
        <rFont val="Arial"/>
        <family val="2"/>
      </rPr>
      <t>(€ /ha)</t>
    </r>
  </si>
  <si>
    <t>Puissance des tracteurs + automoteurs</t>
  </si>
  <si>
    <t>Nombre d'heures (tracteurs + automoteurs)</t>
  </si>
  <si>
    <r>
      <t>Utilisation de la puissance de traction</t>
    </r>
    <r>
      <rPr>
        <sz val="11"/>
        <rFont val="Arial"/>
        <family val="2"/>
      </rPr>
      <t xml:space="preserve"> (litres /an)</t>
    </r>
  </si>
  <si>
    <t>Facture annuelle d'entretien</t>
  </si>
  <si>
    <t>Facture annuelle réparations exceptionnelles</t>
  </si>
  <si>
    <r>
      <t>Frais d'Entretien-Réparations</t>
    </r>
    <r>
      <rPr>
        <sz val="11"/>
        <rFont val="Arial"/>
        <family val="2"/>
      </rPr>
      <t xml:space="preserve"> (€ /an)</t>
    </r>
  </si>
  <si>
    <t>matériels</t>
  </si>
  <si>
    <t>€</t>
  </si>
  <si>
    <r>
      <t>Frais financiers annuels / Chiffre d'Affaires</t>
    </r>
    <r>
      <rPr>
        <sz val="11"/>
        <rFont val="Arial"/>
        <family val="2"/>
      </rPr>
      <t xml:space="preserve"> (%)</t>
    </r>
  </si>
  <si>
    <t>=</t>
  </si>
  <si>
    <t>Utiliser les chiffres "objectifs" ou "repères" pour conduire les investissements</t>
  </si>
  <si>
    <t>Faible probabilité d'avoir un niveau de charges de mécanisation élevé</t>
  </si>
  <si>
    <t>Forte probabilité d'avoir un niveau de charges de mécanisation élevé</t>
  </si>
  <si>
    <t>Produit brut (année 2010)</t>
  </si>
  <si>
    <t>Puissance par ha moissonné (ch /ha récolté en été)</t>
  </si>
  <si>
    <t>&amp; faible potentiel / non-labour</t>
  </si>
  <si>
    <t>&amp; fort potentiel</t>
  </si>
  <si>
    <t>Grandes cultures</t>
  </si>
  <si>
    <t>+ BS / cultures industrielles</t>
  </si>
  <si>
    <t>Production laitière dominante</t>
  </si>
  <si>
    <t>Bovins viande / ovins</t>
  </si>
  <si>
    <t>Bovins viande / ovins / caprins</t>
  </si>
  <si>
    <t>&amp; faible potentiel / labour</t>
  </si>
  <si>
    <t>+ production laitière</t>
  </si>
  <si>
    <t>+ atelier hors-sol</t>
  </si>
  <si>
    <t>+ grandes cultures</t>
  </si>
  <si>
    <t>en zone hérbagère</t>
  </si>
  <si>
    <t>en zone herbagère / extensif</t>
  </si>
  <si>
    <t>Auxois, Morvan, Charolais</t>
  </si>
  <si>
    <t>Morvan, Charolais</t>
  </si>
  <si>
    <t xml:space="preserve">  </t>
  </si>
  <si>
    <t>Presse à balles rondes</t>
  </si>
  <si>
    <t>Presse à balles carrées</t>
  </si>
  <si>
    <t>Fauche</t>
  </si>
  <si>
    <t>Andainage</t>
  </si>
  <si>
    <t>Fanage</t>
  </si>
  <si>
    <t>Pressage</t>
  </si>
  <si>
    <t>Pressage-enrubannage</t>
  </si>
  <si>
    <t>Enrubannage</t>
  </si>
  <si>
    <t>Autochargeuse</t>
  </si>
  <si>
    <t>Ensileuse</t>
  </si>
  <si>
    <t>Faucheuse simple</t>
  </si>
  <si>
    <t>Faucheuse conditionneuse</t>
  </si>
  <si>
    <t>Matériel</t>
  </si>
  <si>
    <t>Année d'achat</t>
  </si>
  <si>
    <t>Valeur d'achat</t>
  </si>
  <si>
    <t>Utilisation</t>
  </si>
  <si>
    <t>IVAN GPR</t>
  </si>
  <si>
    <t>PR GPR 2015</t>
  </si>
  <si>
    <t>Coût chantier</t>
  </si>
  <si>
    <t>Opération</t>
  </si>
  <si>
    <t>Q1</t>
  </si>
  <si>
    <t>m</t>
  </si>
  <si>
    <t>Q3</t>
  </si>
  <si>
    <t>+ Traction</t>
  </si>
  <si>
    <t>+ Carburant</t>
  </si>
  <si>
    <t>+ Main d'œuvre</t>
  </si>
  <si>
    <t>F simple</t>
  </si>
  <si>
    <t>/ha</t>
  </si>
  <si>
    <t>F conditionneuse</t>
  </si>
  <si>
    <t>P à balles rondes</t>
  </si>
  <si>
    <t>/ba</t>
  </si>
  <si>
    <t>P à balles carrées</t>
  </si>
  <si>
    <t>Récolte</t>
  </si>
  <si>
    <t>Références Récolte Herbe</t>
  </si>
  <si>
    <t>Références Mécanisation</t>
  </si>
  <si>
    <t>Indice IPAMPA Biens d'investissement /  matériels agricoles</t>
  </si>
  <si>
    <t>année</t>
  </si>
  <si>
    <t>en %</t>
  </si>
  <si>
    <t>coef.</t>
  </si>
  <si>
    <t>Base 100 en 2005</t>
  </si>
  <si>
    <t>Base 100 en 2010</t>
  </si>
  <si>
    <t>Faneuse</t>
  </si>
  <si>
    <t>Andaineur</t>
  </si>
  <si>
    <t>Presse enrubanneuse</t>
  </si>
  <si>
    <t>Enrubanneuse</t>
  </si>
  <si>
    <t>ba</t>
  </si>
  <si>
    <t>€/ba</t>
  </si>
  <si>
    <t xml:space="preserve"> actualisée</t>
  </si>
  <si>
    <t>en €</t>
  </si>
  <si>
    <t>en unité</t>
  </si>
  <si>
    <t>Module Récolte de l'herbe</t>
  </si>
  <si>
    <t>avec Matériel en propriété ou co-propriété</t>
  </si>
  <si>
    <t>en Prestation de service</t>
  </si>
  <si>
    <t>Module Récolte des COP</t>
  </si>
  <si>
    <t>Fauchage simple</t>
  </si>
  <si>
    <t>Fauchage conditionnage</t>
  </si>
  <si>
    <t>Pressage en balles rondes</t>
  </si>
  <si>
    <t>Pressage en balles carrées</t>
  </si>
  <si>
    <t>Pressage enrubannage</t>
  </si>
  <si>
    <t>Récolte en vert à l'ensileuse</t>
  </si>
  <si>
    <t>Récolte en vert à l'autochargeuse</t>
  </si>
  <si>
    <t>*O</t>
  </si>
  <si>
    <t>Coût total avec MO</t>
  </si>
  <si>
    <t>**+T</t>
  </si>
  <si>
    <t>***+C</t>
  </si>
  <si>
    <t>*O = Outil seul / **+T = Outil + Tracteur / ***+C = Outil + Tracteur + Carburant</t>
  </si>
  <si>
    <t>Surface réalisée</t>
  </si>
  <si>
    <t>Maxi</t>
  </si>
  <si>
    <t>Récolte céréales</t>
  </si>
  <si>
    <t>COP</t>
  </si>
  <si>
    <t>Références Récolte COP</t>
  </si>
  <si>
    <t>*MB</t>
  </si>
  <si>
    <t>% de cultures de printemps</t>
  </si>
  <si>
    <t>Quota laitier /SFP</t>
  </si>
  <si>
    <t>l /ha SFP</t>
  </si>
  <si>
    <t>Puisaye</t>
  </si>
  <si>
    <t>&gt; 95</t>
  </si>
  <si>
    <t>70 à 95</t>
  </si>
  <si>
    <t>55 à 70</t>
  </si>
  <si>
    <t>&lt; 70</t>
  </si>
  <si>
    <t>&lt; 30</t>
  </si>
  <si>
    <t>&lt; 15</t>
  </si>
  <si>
    <t>&lt; 25</t>
  </si>
  <si>
    <t>45 à 80</t>
  </si>
  <si>
    <t>30 à 50</t>
  </si>
  <si>
    <t>80 à 90</t>
  </si>
  <si>
    <t>5 à 40</t>
  </si>
  <si>
    <t>10 à 60</t>
  </si>
  <si>
    <t>&lt; 40</t>
  </si>
  <si>
    <t>20 à 30</t>
  </si>
  <si>
    <t>50 à 60</t>
  </si>
  <si>
    <t>&gt; 25</t>
  </si>
  <si>
    <t>950 à 1 150</t>
  </si>
  <si>
    <t>80 à 120</t>
  </si>
  <si>
    <t>1 400 à 1 950</t>
  </si>
  <si>
    <t>75 à 100</t>
  </si>
  <si>
    <t>15 à 30</t>
  </si>
  <si>
    <t>55 à 85</t>
  </si>
  <si>
    <t>Saône &amp; Loire</t>
  </si>
  <si>
    <t>Quota laitier</t>
  </si>
  <si>
    <t>l/ha SFP</t>
  </si>
  <si>
    <t>litres</t>
  </si>
  <si>
    <t>(porcs ou volailles) ou vigne</t>
  </si>
  <si>
    <t>Puissance de traction (en ch /ha de SAU)</t>
  </si>
  <si>
    <t>Facture annuelle de carburant (€ /ha)</t>
  </si>
  <si>
    <t>Utilisation de la puissance de traction (litres /an)</t>
  </si>
  <si>
    <t>Frais d'Entretien-Réparations (€ /an)</t>
  </si>
  <si>
    <t>Frais financiers annuels / Chiffre d'Affaires (%)</t>
  </si>
  <si>
    <t>EARL LETEST (Jean LETEST)</t>
  </si>
  <si>
    <t>Base 100 en 2015</t>
  </si>
  <si>
    <t>issues de l'Observatoire des Charges de Mécanisation en Bourgogne Franche-Comté</t>
  </si>
  <si>
    <t>F 21.1</t>
  </si>
  <si>
    <t>F 21.2</t>
  </si>
  <si>
    <t>Production laitière (Lait à Comté)</t>
  </si>
  <si>
    <t>+ céréales autoconsommées</t>
  </si>
  <si>
    <t>"100% herbe"</t>
  </si>
  <si>
    <t>Doubs &amp; Jura</t>
  </si>
  <si>
    <t>10 à 20</t>
  </si>
  <si>
    <t>&lt; 4 600</t>
  </si>
  <si>
    <t>5 à 15%</t>
  </si>
  <si>
    <t>10 à 40%</t>
  </si>
  <si>
    <t>création 2019</t>
  </si>
  <si>
    <t>OCMECA BFC</t>
  </si>
  <si>
    <t>45 à 65</t>
  </si>
  <si>
    <t>MAJ 2018</t>
  </si>
  <si>
    <t>&gt; 5</t>
  </si>
  <si>
    <t>&lt; 55</t>
  </si>
  <si>
    <t>1 350 à 1 700</t>
  </si>
  <si>
    <t>65 à 95</t>
  </si>
  <si>
    <t>&lt; 20</t>
  </si>
  <si>
    <t>/litre</t>
  </si>
  <si>
    <t>120 à 180</t>
  </si>
  <si>
    <t>35 à 60</t>
  </si>
  <si>
    <t>&gt; 7 000</t>
  </si>
  <si>
    <t>1 650 à 2 400</t>
  </si>
  <si>
    <t>25 à 50</t>
  </si>
  <si>
    <t>1 000 à 1 150</t>
  </si>
  <si>
    <t>1 250 à 1 400</t>
  </si>
  <si>
    <t>80 à 135</t>
  </si>
  <si>
    <t>10 à 30</t>
  </si>
  <si>
    <t>15 à 25</t>
  </si>
  <si>
    <t>55 à 75</t>
  </si>
  <si>
    <t>&lt; 7 000</t>
  </si>
  <si>
    <t>1 500 à 2 000</t>
  </si>
  <si>
    <t>60 à 85</t>
  </si>
  <si>
    <t>20 à 55%</t>
  </si>
  <si>
    <t>85 à 95</t>
  </si>
  <si>
    <t>25 à 40</t>
  </si>
  <si>
    <t>860 à 1 250</t>
  </si>
  <si>
    <t>70 à 90</t>
  </si>
  <si>
    <t>10 à 15</t>
  </si>
  <si>
    <t>70 à 100</t>
  </si>
  <si>
    <t>2 350 à 2 900</t>
  </si>
  <si>
    <t>2 600 à 2 950</t>
  </si>
  <si>
    <t>mise à jour 2018</t>
  </si>
  <si>
    <t>M</t>
  </si>
  <si>
    <t>/an</t>
  </si>
  <si>
    <t>Coût (en €/an)</t>
  </si>
  <si>
    <t>50 à 75%</t>
  </si>
  <si>
    <t>&gt; 75%</t>
  </si>
  <si>
    <t>&lt; 50%</t>
  </si>
  <si>
    <t>valeur comprise entre la moyenne et le quartile supérieur</t>
  </si>
  <si>
    <t>valeur relevée parmi les 25% les plus élevées</t>
  </si>
  <si>
    <t>Critères techniques calculés conformes aux références de l'Observatoire des Charges de Mécanisation</t>
  </si>
  <si>
    <t>max</t>
  </si>
  <si>
    <t>moy</t>
  </si>
  <si>
    <t>Très Faible probabilité d'avoir un niveau de charges de mécanisation élevé</t>
  </si>
  <si>
    <r>
      <t xml:space="preserve">Diagnostic FLASH'MECA </t>
    </r>
    <r>
      <rPr>
        <sz val="16"/>
        <rFont val="Arial"/>
        <family val="2"/>
      </rPr>
      <t>/ Quelques repères pour situer votre niveau de charges de mécanisation</t>
    </r>
  </si>
  <si>
    <t>/22</t>
  </si>
  <si>
    <t>/48</t>
  </si>
  <si>
    <t>Positionnement des ratios calculés</t>
  </si>
  <si>
    <t>Appréciation technique sur le niveau de charges de mécanisation</t>
  </si>
  <si>
    <t>Nombre de matériels achetés neuf ou d'occasion sur les 3 dernières années</t>
  </si>
  <si>
    <t>Montant investi sur les 3 dernières années</t>
  </si>
  <si>
    <t>Investissement moyen sur les 3 dernières années</t>
  </si>
  <si>
    <t>€ sur les 3 dernières années</t>
  </si>
  <si>
    <t>€/ha /an</t>
  </si>
  <si>
    <t>Montant moyen investi sur les 3 dernières années</t>
  </si>
  <si>
    <t>Nombre de matériels achetés en propriété ou copropriété, neufs ou d'occasion sur les 3 dernières années</t>
  </si>
  <si>
    <t>Investissements moyen sur les 3 dernières années</t>
  </si>
  <si>
    <t>Légende de positionnement du ratio calculé (voir colonne Résultats)</t>
  </si>
  <si>
    <t>valeur inférieure à la moyenne observée pour la population de référence</t>
  </si>
  <si>
    <t>issues du Guide des Prix de revient 2023 et des Coûts Prévisionnels Indicatifs du matériel agricole 2023</t>
  </si>
  <si>
    <t>Indice IPAMPA Biens d'investissement / matériels agricoles</t>
  </si>
  <si>
    <t>Indice mensuel des prix d'achat des moyens de production agricole (IPAMPA) - Matériel - Série arrêtée</t>
  </si>
  <si>
    <t>calculé</t>
  </si>
  <si>
    <t>réel</t>
  </si>
  <si>
    <t>conventionnel</t>
  </si>
  <si>
    <t>BIO</t>
  </si>
  <si>
    <t>&amp; faible potentiel</t>
  </si>
  <si>
    <r>
      <t xml:space="preserve">&amp; faible potentiel / </t>
    </r>
    <r>
      <rPr>
        <b/>
        <sz val="11"/>
        <color rgb="FFFF0000"/>
        <rFont val="Arial"/>
        <family val="2"/>
      </rPr>
      <t>en BIO</t>
    </r>
  </si>
  <si>
    <r>
      <t xml:space="preserve">&amp; fort potentiel / </t>
    </r>
    <r>
      <rPr>
        <b/>
        <sz val="11"/>
        <color rgb="FFFF0000"/>
        <rFont val="Arial"/>
        <family val="2"/>
      </rPr>
      <t>en BIO</t>
    </r>
  </si>
  <si>
    <r>
      <t xml:space="preserve">en zone herbagère / extensif / </t>
    </r>
    <r>
      <rPr>
        <b/>
        <sz val="11"/>
        <color rgb="FFFF0000"/>
        <rFont val="Arial"/>
        <family val="2"/>
      </rPr>
      <t>en BIO</t>
    </r>
  </si>
  <si>
    <t>&lt;  20</t>
  </si>
  <si>
    <t>Produit brut</t>
  </si>
  <si>
    <t>145 à 200</t>
  </si>
  <si>
    <t>&lt; 60</t>
  </si>
  <si>
    <t>950 à 1 200</t>
  </si>
  <si>
    <t>200 à 250</t>
  </si>
  <si>
    <t>1 150 à 1 950</t>
  </si>
  <si>
    <t>130 à 160</t>
  </si>
  <si>
    <t>&gt; 30</t>
  </si>
  <si>
    <t>1 500 à 2 100</t>
  </si>
  <si>
    <t>90 à 160</t>
  </si>
  <si>
    <t>&lt; 50</t>
  </si>
  <si>
    <t>&lt; 35</t>
  </si>
  <si>
    <t>F 1 BIO</t>
  </si>
  <si>
    <t>F 3 BIO</t>
  </si>
  <si>
    <t>135 à 165</t>
  </si>
  <si>
    <t>75 à 90</t>
  </si>
  <si>
    <t>20 à 35</t>
  </si>
  <si>
    <t>1 400 à 1 750</t>
  </si>
  <si>
    <t>&gt; 85</t>
  </si>
  <si>
    <t>850 à 1 150</t>
  </si>
  <si>
    <t>90 à 130</t>
  </si>
  <si>
    <t>10 à 25</t>
  </si>
  <si>
    <t>F 25-26 BIO</t>
  </si>
  <si>
    <t>MAJ 2020-2021</t>
  </si>
  <si>
    <t>MAJ 2016-2017</t>
  </si>
  <si>
    <t>MAJ 2022-2023</t>
  </si>
  <si>
    <t>MAJ 2019-2020</t>
  </si>
  <si>
    <t>MAJ 2018-2019</t>
  </si>
  <si>
    <t>1 000 à 1 425</t>
  </si>
  <si>
    <t>135 à 195</t>
  </si>
  <si>
    <t>1 340 à 1 970</t>
  </si>
  <si>
    <t>50 à 85</t>
  </si>
  <si>
    <t>1 185 à 1 575</t>
  </si>
  <si>
    <t>130 à 140</t>
  </si>
  <si>
    <t>130 à 155</t>
  </si>
  <si>
    <t>1 200 à 1360</t>
  </si>
  <si>
    <t>2 140 à 2 480</t>
  </si>
  <si>
    <t>65 à 90</t>
  </si>
  <si>
    <t>1 805 à 1 915</t>
  </si>
  <si>
    <t>1 000 à 1 300</t>
  </si>
  <si>
    <t>1 000 à 1 200</t>
  </si>
  <si>
    <t>1 150 à 1 500</t>
  </si>
  <si>
    <t>1 290 à 1 840</t>
  </si>
  <si>
    <t>110 à 135</t>
  </si>
  <si>
    <t>1 200 à 1 650</t>
  </si>
  <si>
    <t>1 350 à 2 000</t>
  </si>
  <si>
    <t>90 à 140</t>
  </si>
  <si>
    <t>1 400 à 1 800</t>
  </si>
  <si>
    <t>1 150 à 1 400</t>
  </si>
  <si>
    <t>130 à 165</t>
  </si>
  <si>
    <t>80 à 140</t>
  </si>
  <si>
    <t>1 600 à 2 000</t>
  </si>
  <si>
    <t>1 500 à 1 900</t>
  </si>
  <si>
    <t>950 à 1 400</t>
  </si>
  <si>
    <t>900 à 1 400</t>
  </si>
  <si>
    <t>1 900 à 2 500</t>
  </si>
  <si>
    <t>1 800 à 2 300</t>
  </si>
  <si>
    <t>2 500 à 3 100</t>
  </si>
  <si>
    <t>2750 à 3 200</t>
  </si>
  <si>
    <t xml:space="preserve"> </t>
  </si>
  <si>
    <t>Produits des activités (Aides compensatoires comprises)</t>
  </si>
  <si>
    <r>
      <t>Frais financiers annuels / Produit des activités</t>
    </r>
    <r>
      <rPr>
        <sz val="11"/>
        <rFont val="Arial"/>
        <family val="2"/>
      </rPr>
      <t xml:space="preserve"> (%)</t>
    </r>
  </si>
  <si>
    <t>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</si>
</sst>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0\ &quot;€&quot;;[Red]\-#,##0\ &quot;€&quot;"/>
    <numFmt numFmtId="164" formatCode="#,##0\ [$€-1];[Red]\-#,##0\ [$€-1]"/>
    <numFmt numFmtId="165" formatCode="0.0"/>
    <numFmt numFmtId="166" formatCode="0.0%"/>
    <numFmt numFmtId="167" formatCode="#,##0\ &quot;€&quot;"/>
    <numFmt numFmtId="168" formatCode="#,##0.0\ &quot;€&quot;"/>
    <numFmt numFmtId="169" formatCode="#,##0.00\ &quot;€&quot;"/>
    <numFmt numFmtId="170" formatCode="0.0000"/>
  </numFmts>
  <fonts count="64" x14ac:knownFonts="1">
    <font>
      <sz val="11"/>
      <color theme="1"/>
      <name val="Calibri"/>
      <family val="2"/>
      <scheme val="minor"/>
    </font>
    <font>
      <sz val="11"/>
      <color theme="1"/>
      <name val="Calibri"/>
      <family val="2"/>
      <scheme val="minor"/>
    </font>
    <font>
      <b/>
      <u/>
      <sz val="20"/>
      <name val="Arial"/>
      <family val="2"/>
    </font>
    <font>
      <b/>
      <sz val="18"/>
      <name val="Arial"/>
      <family val="2"/>
    </font>
    <font>
      <sz val="14"/>
      <name val="Arial"/>
      <family val="2"/>
    </font>
    <font>
      <sz val="11"/>
      <color indexed="9"/>
      <name val="Arial"/>
      <family val="2"/>
    </font>
    <font>
      <sz val="10"/>
      <color indexed="9"/>
      <name val="Arial"/>
      <family val="2"/>
    </font>
    <font>
      <b/>
      <sz val="12"/>
      <color indexed="48"/>
      <name val="Arial"/>
      <family val="2"/>
    </font>
    <font>
      <b/>
      <sz val="11"/>
      <name val="Arial"/>
      <family val="2"/>
    </font>
    <font>
      <sz val="11"/>
      <name val="Arial"/>
      <family val="2"/>
    </font>
    <font>
      <sz val="10"/>
      <name val="Arial"/>
      <family val="2"/>
    </font>
    <font>
      <b/>
      <sz val="12"/>
      <name val="Arial"/>
      <family val="2"/>
    </font>
    <font>
      <sz val="10"/>
      <color indexed="10"/>
      <name val="Arial"/>
      <family val="2"/>
    </font>
    <font>
      <sz val="10"/>
      <color rgb="FFFF0000"/>
      <name val="Arial"/>
      <family val="2"/>
    </font>
    <font>
      <sz val="8"/>
      <name val="Arial"/>
      <family val="2"/>
    </font>
    <font>
      <b/>
      <sz val="10"/>
      <name val="Arial"/>
      <family val="2"/>
    </font>
    <font>
      <b/>
      <sz val="10"/>
      <color rgb="FFFF0000"/>
      <name val="Arial"/>
      <family val="2"/>
    </font>
    <font>
      <b/>
      <sz val="10"/>
      <color indexed="10"/>
      <name val="Arial"/>
      <family val="2"/>
    </font>
    <font>
      <sz val="11"/>
      <color rgb="FFFF0000"/>
      <name val="Arial"/>
      <family val="2"/>
    </font>
    <font>
      <b/>
      <u/>
      <sz val="10"/>
      <name val="Arial"/>
      <family val="2"/>
    </font>
    <font>
      <sz val="12"/>
      <name val="Arial"/>
      <family val="2"/>
    </font>
    <font>
      <u/>
      <sz val="11"/>
      <name val="Arial"/>
      <family val="2"/>
    </font>
    <font>
      <b/>
      <sz val="14"/>
      <name val="Arial"/>
      <family val="2"/>
    </font>
    <font>
      <b/>
      <u/>
      <sz val="12"/>
      <name val="Arial"/>
      <family val="2"/>
    </font>
    <font>
      <sz val="10"/>
      <color indexed="18"/>
      <name val="Arial"/>
      <family val="2"/>
    </font>
    <font>
      <b/>
      <sz val="12"/>
      <color indexed="10"/>
      <name val="Arial"/>
      <family val="2"/>
    </font>
    <font>
      <b/>
      <sz val="12"/>
      <color indexed="18"/>
      <name val="Arial"/>
      <family val="2"/>
    </font>
    <font>
      <b/>
      <sz val="10"/>
      <color indexed="18"/>
      <name val="Arial"/>
      <family val="2"/>
    </font>
    <font>
      <sz val="14"/>
      <color indexed="23"/>
      <name val="Arial"/>
      <family val="2"/>
    </font>
    <font>
      <sz val="10"/>
      <color indexed="23"/>
      <name val="Arial"/>
      <family val="2"/>
    </font>
    <font>
      <sz val="16"/>
      <name val="Arial"/>
      <family val="2"/>
    </font>
    <font>
      <sz val="11"/>
      <color indexed="81"/>
      <name val="Arial"/>
      <family val="2"/>
    </font>
    <font>
      <b/>
      <sz val="11"/>
      <color indexed="81"/>
      <name val="Arial"/>
      <family val="2"/>
    </font>
    <font>
      <u/>
      <sz val="11"/>
      <color indexed="81"/>
      <name val="Arial"/>
      <family val="2"/>
    </font>
    <font>
      <sz val="8"/>
      <color indexed="81"/>
      <name val="Tahoma"/>
      <family val="2"/>
    </font>
    <font>
      <sz val="14"/>
      <color theme="1"/>
      <name val="Calibri"/>
      <family val="2"/>
      <scheme val="minor"/>
    </font>
    <font>
      <sz val="11"/>
      <color rgb="FFFF0000"/>
      <name val="Calibri"/>
      <family val="2"/>
      <scheme val="minor"/>
    </font>
    <font>
      <sz val="11"/>
      <color theme="0"/>
      <name val="Calibri"/>
      <family val="2"/>
      <scheme val="minor"/>
    </font>
    <font>
      <sz val="11"/>
      <name val="Calibri"/>
      <family val="2"/>
      <scheme val="minor"/>
    </font>
    <font>
      <b/>
      <sz val="12"/>
      <color rgb="FFFF0000"/>
      <name val="Arial"/>
      <family val="2"/>
    </font>
    <font>
      <sz val="10"/>
      <color theme="0"/>
      <name val="Arial"/>
      <family val="2"/>
    </font>
    <font>
      <sz val="11"/>
      <color rgb="FFC00000"/>
      <name val="Calibri"/>
      <family val="2"/>
      <scheme val="minor"/>
    </font>
    <font>
      <b/>
      <sz val="11"/>
      <color rgb="FFFF0000"/>
      <name val="Calibri"/>
      <family val="2"/>
      <scheme val="minor"/>
    </font>
    <font>
      <b/>
      <sz val="11"/>
      <color theme="1"/>
      <name val="Calibri"/>
      <family val="2"/>
      <scheme val="minor"/>
    </font>
    <font>
      <b/>
      <sz val="10"/>
      <color theme="0"/>
      <name val="Arial"/>
      <family val="2"/>
    </font>
    <font>
      <b/>
      <sz val="20"/>
      <color theme="1"/>
      <name val="Calibri"/>
      <family val="2"/>
      <scheme val="minor"/>
    </font>
    <font>
      <b/>
      <sz val="11"/>
      <color theme="0"/>
      <name val="Arial"/>
      <family val="2"/>
    </font>
    <font>
      <b/>
      <sz val="11"/>
      <color indexed="18"/>
      <name val="Arial"/>
      <family val="2"/>
    </font>
    <font>
      <b/>
      <sz val="11"/>
      <color rgb="FF000080"/>
      <name val="Arial"/>
      <family val="2"/>
    </font>
    <font>
      <sz val="14"/>
      <color rgb="FFFF0000"/>
      <name val="Arial"/>
      <family val="2"/>
    </font>
    <font>
      <sz val="14"/>
      <color theme="1" tint="0.34998626667073579"/>
      <name val="Arial"/>
      <family val="2"/>
    </font>
    <font>
      <sz val="11"/>
      <color theme="1" tint="0.34998626667073579"/>
      <name val="Calibri"/>
      <family val="2"/>
      <scheme val="minor"/>
    </font>
    <font>
      <sz val="8"/>
      <name val="Calibri"/>
      <family val="2"/>
      <scheme val="minor"/>
    </font>
    <font>
      <b/>
      <sz val="11"/>
      <color rgb="FFFF0000"/>
      <name val="Arial"/>
      <family val="2"/>
    </font>
    <font>
      <sz val="11"/>
      <color rgb="FF0000FF"/>
      <name val="Calibri"/>
      <family val="2"/>
      <scheme val="minor"/>
    </font>
    <font>
      <b/>
      <sz val="11"/>
      <name val="Calibri"/>
      <family val="2"/>
      <scheme val="minor"/>
    </font>
    <font>
      <sz val="10"/>
      <color rgb="FF0000FF"/>
      <name val="Arial"/>
      <family val="2"/>
    </font>
    <font>
      <b/>
      <sz val="11"/>
      <color theme="0"/>
      <name val="Calibri"/>
      <family val="2"/>
      <scheme val="minor"/>
    </font>
    <font>
      <b/>
      <sz val="12"/>
      <color theme="0"/>
      <name val="Arial"/>
      <family val="2"/>
    </font>
    <font>
      <b/>
      <sz val="12"/>
      <color theme="0"/>
      <name val="Calibri"/>
      <family val="2"/>
      <scheme val="minor"/>
    </font>
    <font>
      <sz val="12"/>
      <color theme="0"/>
      <name val="Arial"/>
      <family val="2"/>
    </font>
    <font>
      <b/>
      <sz val="20"/>
      <color theme="0"/>
      <name val="Calibri"/>
      <family val="2"/>
      <scheme val="minor"/>
    </font>
    <font>
      <sz val="14"/>
      <color theme="0"/>
      <name val="Arial"/>
      <family val="2"/>
    </font>
    <font>
      <b/>
      <sz val="11"/>
      <color rgb="FF0000FF"/>
      <name val="Arial"/>
      <family val="2"/>
    </font>
  </fonts>
  <fills count="3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41"/>
        <bgColor indexed="64"/>
      </patternFill>
    </fill>
    <fill>
      <patternFill patternType="solid">
        <fgColor indexed="24"/>
        <bgColor indexed="9"/>
      </patternFill>
    </fill>
    <fill>
      <patternFill patternType="solid">
        <fgColor rgb="FFFF6600"/>
        <bgColor indexed="64"/>
      </patternFill>
    </fill>
    <fill>
      <patternFill patternType="solid">
        <fgColor theme="4" tint="0.39997558519241921"/>
        <bgColor indexed="9"/>
      </patternFill>
    </fill>
    <fill>
      <patternFill patternType="lightGray">
        <fgColor indexed="9"/>
        <bgColor indexed="19"/>
      </patternFill>
    </fill>
    <fill>
      <patternFill patternType="solid">
        <fgColor indexed="42"/>
        <bgColor indexed="64"/>
      </patternFill>
    </fill>
    <fill>
      <patternFill patternType="lightGray">
        <fgColor indexed="9"/>
        <bgColor indexed="53"/>
      </patternFill>
    </fill>
    <fill>
      <patternFill patternType="lightGray">
        <fgColor indexed="9"/>
        <bgColor indexed="50"/>
      </patternFill>
    </fill>
    <fill>
      <patternFill patternType="solid">
        <fgColor indexed="22"/>
        <bgColor indexed="64"/>
      </patternFill>
    </fill>
    <fill>
      <patternFill patternType="mediumGray">
        <fgColor indexed="9"/>
        <bgColor indexed="22"/>
      </patternFill>
    </fill>
    <fill>
      <patternFill patternType="solid">
        <fgColor indexed="43"/>
        <bgColor indexed="9"/>
      </patternFill>
    </fill>
    <fill>
      <patternFill patternType="lightUp">
        <fgColor indexed="9"/>
        <bgColor indexed="43"/>
      </patternFill>
    </fill>
    <fill>
      <patternFill patternType="solid">
        <fgColor rgb="FF92D050"/>
        <bgColor indexed="64"/>
      </patternFill>
    </fill>
    <fill>
      <patternFill patternType="solid">
        <fgColor rgb="FFFFFF00"/>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0000"/>
        <bgColor indexed="64"/>
      </patternFill>
    </fill>
    <fill>
      <patternFill patternType="lightUp"/>
    </fill>
    <fill>
      <patternFill patternType="solid">
        <fgColor rgb="FFCCFFCC"/>
        <bgColor indexed="64"/>
      </patternFill>
    </fill>
    <fill>
      <patternFill patternType="solid">
        <fgColor rgb="FFCCECFF"/>
        <bgColor indexed="64"/>
      </patternFill>
    </fill>
    <fill>
      <patternFill patternType="lightGray">
        <fgColor indexed="9"/>
        <bgColor rgb="FFCCECFF"/>
      </patternFill>
    </fill>
    <fill>
      <patternFill patternType="solid">
        <fgColor rgb="FFFF9900"/>
        <bgColor indexed="64"/>
      </patternFill>
    </fill>
    <fill>
      <patternFill patternType="solid">
        <fgColor theme="5"/>
        <bgColor indexed="64"/>
      </patternFill>
    </fill>
    <fill>
      <patternFill patternType="solid">
        <fgColor theme="4"/>
        <bgColor indexed="64"/>
      </patternFill>
    </fill>
    <fill>
      <patternFill patternType="solid">
        <fgColor rgb="FF99FF33"/>
        <bgColor indexed="64"/>
      </patternFill>
    </fill>
    <fill>
      <patternFill patternType="solid">
        <fgColor rgb="FFCCCC00"/>
        <bgColor indexed="64"/>
      </patternFill>
    </fill>
    <fill>
      <patternFill patternType="lightUp">
        <fgColor theme="0"/>
        <bgColor theme="0" tint="-0.34998626667073579"/>
      </patternFill>
    </fill>
    <fill>
      <patternFill patternType="solid">
        <fgColor rgb="FF00FF00"/>
        <bgColor indexed="64"/>
      </patternFill>
    </fill>
    <fill>
      <patternFill patternType="solid">
        <fgColor rgb="FF00B050"/>
        <bgColor indexed="64"/>
      </patternFill>
    </fill>
    <fill>
      <patternFill patternType="lightUp">
        <fgColor rgb="FF92D050"/>
        <bgColor rgb="FFFFFF99"/>
      </patternFill>
    </fill>
    <fill>
      <patternFill patternType="lightUp">
        <fgColor theme="9" tint="-0.499984740745262"/>
        <bgColor indexed="43"/>
      </patternFill>
    </fill>
    <fill>
      <patternFill patternType="lightUp">
        <fgColor rgb="FF92D050"/>
        <bgColor rgb="FFFFCC99"/>
      </patternFill>
    </fill>
    <fill>
      <patternFill patternType="lightGray">
        <fgColor rgb="FF00B050"/>
        <bgColor indexed="50"/>
      </patternFill>
    </fill>
  </fills>
  <borders count="7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hair">
        <color indexed="64"/>
      </left>
      <right style="hair">
        <color indexed="64"/>
      </right>
      <top style="dotted">
        <color indexed="64"/>
      </top>
      <bottom/>
      <diagonal/>
    </border>
    <border>
      <left style="dotted">
        <color indexed="64"/>
      </left>
      <right style="hair">
        <color indexed="64"/>
      </right>
      <top style="dotted">
        <color indexed="64"/>
      </top>
      <bottom/>
      <diagonal/>
    </border>
    <border>
      <left/>
      <right style="dotted">
        <color indexed="64"/>
      </right>
      <top/>
      <bottom/>
      <diagonal/>
    </border>
    <border>
      <left style="thin">
        <color indexed="64"/>
      </left>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right style="dotted">
        <color indexed="64"/>
      </right>
      <top style="hair">
        <color indexed="64"/>
      </top>
      <bottom style="hair">
        <color indexed="64"/>
      </bottom>
      <diagonal/>
    </border>
    <border>
      <left style="hair">
        <color indexed="64"/>
      </left>
      <right style="hair">
        <color indexed="64"/>
      </right>
      <top/>
      <bottom style="dotted">
        <color indexed="64"/>
      </bottom>
      <diagonal/>
    </border>
    <border>
      <left style="dotted">
        <color indexed="64"/>
      </left>
      <right style="hair">
        <color indexed="64"/>
      </right>
      <top/>
      <bottom style="dotted">
        <color indexed="64"/>
      </bottom>
      <diagonal/>
    </border>
    <border>
      <left/>
      <right style="dotted">
        <color indexed="64"/>
      </right>
      <top/>
      <bottom style="dotted">
        <color indexed="64"/>
      </bottom>
      <diagonal/>
    </border>
    <border>
      <left/>
      <right/>
      <top/>
      <bottom style="hair">
        <color indexed="64"/>
      </bottom>
      <diagonal/>
    </border>
    <border>
      <left style="thin">
        <color indexed="64"/>
      </left>
      <right style="hair">
        <color indexed="64"/>
      </right>
      <top style="hair">
        <color indexed="64"/>
      </top>
      <bottom style="hair">
        <color indexed="64"/>
      </bottom>
      <diagonal/>
    </border>
    <border>
      <left style="dashed">
        <color indexed="64"/>
      </left>
      <right style="hair">
        <color indexed="64"/>
      </right>
      <top style="hair">
        <color indexed="64"/>
      </top>
      <bottom style="hair">
        <color indexed="64"/>
      </bottom>
      <diagonal/>
    </border>
    <border>
      <left style="hair">
        <color indexed="64"/>
      </left>
      <right style="dashed">
        <color indexed="64"/>
      </right>
      <top style="hair">
        <color indexed="64"/>
      </top>
      <bottom style="hair">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s>
  <cellStyleXfs count="2">
    <xf numFmtId="0" fontId="0" fillId="0" borderId="0"/>
    <xf numFmtId="9" fontId="1" fillId="0" borderId="0" applyFont="0" applyFill="0" applyBorder="0" applyAlignment="0" applyProtection="0"/>
  </cellStyleXfs>
  <cellXfs count="829">
    <xf numFmtId="0" fontId="0" fillId="0" borderId="0" xfId="0"/>
    <xf numFmtId="0" fontId="2" fillId="0" borderId="0" xfId="0" applyFont="1" applyAlignment="1" applyProtection="1">
      <alignment vertical="center"/>
      <protection hidden="1"/>
    </xf>
    <xf numFmtId="0" fontId="0" fillId="0" borderId="0" xfId="0" applyProtection="1">
      <protection hidden="1"/>
    </xf>
    <xf numFmtId="0" fontId="0" fillId="0" borderId="0" xfId="0" applyBorder="1" applyProtection="1">
      <protection hidden="1"/>
    </xf>
    <xf numFmtId="0" fontId="10" fillId="0" borderId="0" xfId="0" applyFont="1" applyProtection="1">
      <protection hidden="1"/>
    </xf>
    <xf numFmtId="0" fontId="3" fillId="0" borderId="0" xfId="0" applyFont="1" applyProtection="1">
      <protection hidden="1"/>
    </xf>
    <xf numFmtId="0" fontId="22" fillId="12" borderId="5" xfId="0" applyFont="1" applyFill="1" applyBorder="1" applyAlignment="1" applyProtection="1">
      <alignment horizontal="center"/>
      <protection hidden="1"/>
    </xf>
    <xf numFmtId="0" fontId="22" fillId="12" borderId="0" xfId="0" applyFont="1" applyFill="1" applyBorder="1" applyAlignment="1" applyProtection="1">
      <alignment horizontal="center"/>
      <protection hidden="1"/>
    </xf>
    <xf numFmtId="0" fontId="22" fillId="12" borderId="6" xfId="0" applyFont="1" applyFill="1" applyBorder="1" applyAlignment="1" applyProtection="1">
      <alignment horizontal="center"/>
      <protection hidden="1"/>
    </xf>
    <xf numFmtId="0" fontId="8" fillId="12" borderId="7" xfId="0" applyFont="1" applyFill="1" applyBorder="1" applyProtection="1">
      <protection hidden="1"/>
    </xf>
    <xf numFmtId="0" fontId="8" fillId="12" borderId="1" xfId="0" applyFont="1" applyFill="1" applyBorder="1" applyProtection="1">
      <protection hidden="1"/>
    </xf>
    <xf numFmtId="0" fontId="8" fillId="12" borderId="8" xfId="0" applyFont="1" applyFill="1" applyBorder="1" applyProtection="1">
      <protection hidden="1"/>
    </xf>
    <xf numFmtId="0" fontId="0" fillId="13" borderId="2" xfId="0" applyFill="1" applyBorder="1" applyProtection="1">
      <protection hidden="1"/>
    </xf>
    <xf numFmtId="0" fontId="0" fillId="13" borderId="5" xfId="0" applyFill="1" applyBorder="1" applyProtection="1">
      <protection hidden="1"/>
    </xf>
    <xf numFmtId="0" fontId="0" fillId="13" borderId="0" xfId="0" applyFill="1" applyBorder="1" applyProtection="1">
      <protection hidden="1"/>
    </xf>
    <xf numFmtId="0" fontId="0" fillId="13" borderId="6" xfId="0" applyFill="1" applyBorder="1" applyProtection="1">
      <protection hidden="1"/>
    </xf>
    <xf numFmtId="0" fontId="0" fillId="13" borderId="3" xfId="0" applyFill="1" applyBorder="1" applyProtection="1">
      <protection hidden="1"/>
    </xf>
    <xf numFmtId="0" fontId="0" fillId="13" borderId="4" xfId="0" applyFill="1" applyBorder="1" applyProtection="1">
      <protection hidden="1"/>
    </xf>
    <xf numFmtId="0" fontId="23" fillId="0" borderId="5" xfId="0" applyFont="1" applyBorder="1" applyProtection="1">
      <protection hidden="1"/>
    </xf>
    <xf numFmtId="0" fontId="11" fillId="0" borderId="5" xfId="0" applyFont="1" applyBorder="1" applyProtection="1">
      <protection hidden="1"/>
    </xf>
    <xf numFmtId="0" fontId="11" fillId="0" borderId="0" xfId="0" applyFont="1" applyBorder="1" applyProtection="1">
      <protection hidden="1"/>
    </xf>
    <xf numFmtId="0" fontId="11" fillId="0" borderId="6" xfId="0" applyFont="1" applyBorder="1" applyProtection="1">
      <protection hidden="1"/>
    </xf>
    <xf numFmtId="0" fontId="0" fillId="0" borderId="6" xfId="0" applyBorder="1" applyProtection="1">
      <protection hidden="1"/>
    </xf>
    <xf numFmtId="0" fontId="0" fillId="0" borderId="9" xfId="0" applyBorder="1" applyProtection="1">
      <protection hidden="1"/>
    </xf>
    <xf numFmtId="0" fontId="0" fillId="0" borderId="10" xfId="0" applyBorder="1" applyProtection="1">
      <protection hidden="1"/>
    </xf>
    <xf numFmtId="0" fontId="0" fillId="0" borderId="11" xfId="0" applyBorder="1" applyProtection="1">
      <protection hidden="1"/>
    </xf>
    <xf numFmtId="0" fontId="0" fillId="0" borderId="5" xfId="0" applyBorder="1" applyProtection="1">
      <protection hidden="1"/>
    </xf>
    <xf numFmtId="0" fontId="0" fillId="0" borderId="0" xfId="0" applyFill="1" applyBorder="1" applyAlignment="1" applyProtection="1">
      <alignment horizontal="right"/>
      <protection hidden="1"/>
    </xf>
    <xf numFmtId="0" fontId="0" fillId="0" borderId="0" xfId="0" applyFill="1" applyBorder="1" applyProtection="1">
      <protection hidden="1"/>
    </xf>
    <xf numFmtId="0" fontId="0" fillId="0" borderId="5" xfId="0" applyFill="1" applyBorder="1" applyProtection="1">
      <protection hidden="1"/>
    </xf>
    <xf numFmtId="1" fontId="24" fillId="0" borderId="5" xfId="0" applyNumberFormat="1" applyFont="1" applyFill="1" applyBorder="1" applyProtection="1">
      <protection hidden="1"/>
    </xf>
    <xf numFmtId="9" fontId="24" fillId="0" borderId="6" xfId="0" applyNumberFormat="1" applyFont="1" applyBorder="1" applyAlignment="1" applyProtection="1">
      <alignment horizontal="left"/>
      <protection hidden="1"/>
    </xf>
    <xf numFmtId="9" fontId="12" fillId="0" borderId="5" xfId="0" applyNumberFormat="1" applyFont="1" applyBorder="1" applyAlignment="1" applyProtection="1">
      <alignment horizontal="left"/>
      <protection hidden="1"/>
    </xf>
    <xf numFmtId="0" fontId="0" fillId="0" borderId="0" xfId="0" applyBorder="1" applyAlignment="1" applyProtection="1">
      <alignment horizontal="right"/>
      <protection hidden="1"/>
    </xf>
    <xf numFmtId="0" fontId="0" fillId="0" borderId="6" xfId="0" applyBorder="1" applyAlignment="1" applyProtection="1">
      <alignment horizontal="left"/>
      <protection hidden="1"/>
    </xf>
    <xf numFmtId="0" fontId="0" fillId="0" borderId="6" xfId="0" applyFill="1" applyBorder="1" applyAlignment="1" applyProtection="1">
      <alignment horizontal="left"/>
      <protection hidden="1"/>
    </xf>
    <xf numFmtId="0" fontId="10" fillId="0" borderId="0" xfId="0" applyFont="1" applyBorder="1" applyProtection="1">
      <protection hidden="1"/>
    </xf>
    <xf numFmtId="0" fontId="0" fillId="0" borderId="1" xfId="0" applyBorder="1" applyProtection="1">
      <protection hidden="1"/>
    </xf>
    <xf numFmtId="0" fontId="0" fillId="0" borderId="8" xfId="0" applyBorder="1" applyProtection="1">
      <protection hidden="1"/>
    </xf>
    <xf numFmtId="0" fontId="10" fillId="0" borderId="5" xfId="0" applyFont="1" applyBorder="1" applyProtection="1">
      <protection hidden="1"/>
    </xf>
    <xf numFmtId="0" fontId="0" fillId="0" borderId="0" xfId="0" applyBorder="1" applyAlignment="1" applyProtection="1">
      <alignment horizontal="center"/>
      <protection hidden="1"/>
    </xf>
    <xf numFmtId="3" fontId="0" fillId="0" borderId="0" xfId="0" applyNumberFormat="1" applyFill="1" applyBorder="1" applyAlignment="1" applyProtection="1">
      <alignment horizontal="right"/>
      <protection hidden="1"/>
    </xf>
    <xf numFmtId="6" fontId="0" fillId="0" borderId="0" xfId="0" applyNumberFormat="1" applyFill="1" applyBorder="1" applyAlignment="1" applyProtection="1">
      <alignment horizontal="left"/>
      <protection hidden="1"/>
    </xf>
    <xf numFmtId="3" fontId="24" fillId="0" borderId="5" xfId="0" applyNumberFormat="1" applyFont="1" applyFill="1" applyBorder="1" applyAlignment="1" applyProtection="1">
      <alignment horizontal="right"/>
      <protection hidden="1"/>
    </xf>
    <xf numFmtId="164" fontId="24" fillId="0" borderId="6" xfId="0" applyNumberFormat="1" applyFont="1" applyBorder="1" applyAlignment="1" applyProtection="1">
      <alignment horizontal="left"/>
      <protection hidden="1"/>
    </xf>
    <xf numFmtId="164" fontId="12" fillId="0" borderId="5" xfId="0" applyNumberFormat="1" applyFont="1" applyBorder="1" applyAlignment="1" applyProtection="1">
      <alignment horizontal="left"/>
      <protection hidden="1"/>
    </xf>
    <xf numFmtId="0" fontId="24" fillId="0" borderId="6" xfId="0" applyFont="1" applyBorder="1" applyAlignment="1" applyProtection="1">
      <alignment horizontal="left"/>
      <protection hidden="1"/>
    </xf>
    <xf numFmtId="0" fontId="12" fillId="0" borderId="5" xfId="0" applyFont="1" applyBorder="1" applyAlignment="1" applyProtection="1">
      <alignment horizontal="left"/>
      <protection hidden="1"/>
    </xf>
    <xf numFmtId="0" fontId="0" fillId="0" borderId="7" xfId="0" applyBorder="1" applyProtection="1">
      <protection hidden="1"/>
    </xf>
    <xf numFmtId="0" fontId="24" fillId="0" borderId="7" xfId="0" applyFont="1" applyBorder="1" applyProtection="1">
      <protection hidden="1"/>
    </xf>
    <xf numFmtId="0" fontId="24" fillId="0" borderId="8" xfId="0" applyFont="1" applyBorder="1" applyProtection="1">
      <protection hidden="1"/>
    </xf>
    <xf numFmtId="0" fontId="24" fillId="13" borderId="2" xfId="0" applyFont="1" applyFill="1" applyBorder="1" applyProtection="1">
      <protection hidden="1"/>
    </xf>
    <xf numFmtId="0" fontId="24" fillId="13" borderId="4" xfId="0" applyFont="1" applyFill="1" applyBorder="1" applyProtection="1">
      <protection hidden="1"/>
    </xf>
    <xf numFmtId="0" fontId="15" fillId="13" borderId="2" xfId="0" applyFont="1" applyFill="1" applyBorder="1" applyAlignment="1" applyProtection="1">
      <alignment horizontal="right"/>
      <protection hidden="1"/>
    </xf>
    <xf numFmtId="0" fontId="25" fillId="0" borderId="0" xfId="0" applyFont="1" applyBorder="1" applyProtection="1">
      <protection hidden="1"/>
    </xf>
    <xf numFmtId="0" fontId="26" fillId="0" borderId="5" xfId="0" applyFont="1" applyBorder="1" applyProtection="1">
      <protection hidden="1"/>
    </xf>
    <xf numFmtId="0" fontId="26" fillId="0" borderId="6" xfId="0" applyFont="1" applyBorder="1" applyProtection="1">
      <protection hidden="1"/>
    </xf>
    <xf numFmtId="0" fontId="15" fillId="0" borderId="5" xfId="0" applyFont="1" applyBorder="1" applyAlignment="1" applyProtection="1">
      <alignment horizontal="right"/>
      <protection hidden="1"/>
    </xf>
    <xf numFmtId="0" fontId="24" fillId="0" borderId="5" xfId="0" applyFont="1" applyBorder="1" applyProtection="1">
      <protection hidden="1"/>
    </xf>
    <xf numFmtId="0" fontId="24" fillId="0" borderId="6" xfId="0" applyFont="1" applyBorder="1" applyProtection="1">
      <protection hidden="1"/>
    </xf>
    <xf numFmtId="0" fontId="0" fillId="0" borderId="0" xfId="0" applyFill="1" applyBorder="1" applyAlignment="1" applyProtection="1">
      <alignment horizontal="center"/>
      <protection hidden="1"/>
    </xf>
    <xf numFmtId="0" fontId="24" fillId="0" borderId="5" xfId="0" applyFont="1" applyFill="1" applyBorder="1" applyProtection="1">
      <protection hidden="1"/>
    </xf>
    <xf numFmtId="0" fontId="24" fillId="0" borderId="6" xfId="0" applyFont="1" applyBorder="1" applyAlignment="1" applyProtection="1">
      <alignment horizontal="right"/>
      <protection hidden="1"/>
    </xf>
    <xf numFmtId="0" fontId="12" fillId="0" borderId="0" xfId="0" applyFont="1" applyFill="1" applyBorder="1" applyProtection="1">
      <protection hidden="1"/>
    </xf>
    <xf numFmtId="0" fontId="8" fillId="0" borderId="5" xfId="0" applyFont="1" applyBorder="1" applyProtection="1">
      <protection hidden="1"/>
    </xf>
    <xf numFmtId="0" fontId="17" fillId="0" borderId="0" xfId="0" applyFont="1" applyBorder="1" applyProtection="1">
      <protection hidden="1"/>
    </xf>
    <xf numFmtId="165" fontId="24" fillId="0" borderId="5" xfId="0" applyNumberFormat="1" applyFont="1" applyFill="1" applyBorder="1" applyProtection="1">
      <protection hidden="1"/>
    </xf>
    <xf numFmtId="0" fontId="24" fillId="0" borderId="6" xfId="0" applyFont="1" applyFill="1" applyBorder="1" applyAlignment="1" applyProtection="1">
      <alignment horizontal="left"/>
      <protection hidden="1"/>
    </xf>
    <xf numFmtId="0" fontId="15" fillId="0" borderId="5" xfId="0" applyFont="1" applyFill="1" applyBorder="1" applyAlignment="1" applyProtection="1">
      <alignment horizontal="right"/>
      <protection hidden="1"/>
    </xf>
    <xf numFmtId="0" fontId="8" fillId="0" borderId="0" xfId="0" applyFont="1" applyBorder="1" applyAlignment="1" applyProtection="1">
      <alignment horizontal="right"/>
      <protection hidden="1"/>
    </xf>
    <xf numFmtId="0" fontId="9" fillId="0" borderId="6" xfId="0" applyFont="1" applyBorder="1" applyAlignment="1" applyProtection="1">
      <alignment horizontal="left"/>
      <protection hidden="1"/>
    </xf>
    <xf numFmtId="0" fontId="12" fillId="0" borderId="10" xfId="0" applyFont="1" applyFill="1" applyBorder="1" applyProtection="1">
      <protection hidden="1"/>
    </xf>
    <xf numFmtId="0" fontId="0" fillId="0" borderId="10" xfId="0" applyFill="1" applyBorder="1" applyProtection="1">
      <protection hidden="1"/>
    </xf>
    <xf numFmtId="0" fontId="24" fillId="0" borderId="9" xfId="0" applyFont="1" applyBorder="1" applyProtection="1">
      <protection hidden="1"/>
    </xf>
    <xf numFmtId="0" fontId="24" fillId="0" borderId="11" xfId="0" applyFont="1" applyBorder="1" applyAlignment="1" applyProtection="1">
      <alignment horizontal="right"/>
      <protection hidden="1"/>
    </xf>
    <xf numFmtId="0" fontId="15" fillId="0" borderId="9" xfId="0" applyFont="1" applyBorder="1" applyAlignment="1" applyProtection="1">
      <alignment horizontal="right"/>
      <protection hidden="1"/>
    </xf>
    <xf numFmtId="165" fontId="0" fillId="0" borderId="5" xfId="0" quotePrefix="1" applyNumberFormat="1" applyBorder="1" applyProtection="1">
      <protection hidden="1"/>
    </xf>
    <xf numFmtId="165" fontId="6" fillId="0" borderId="44" xfId="0" quotePrefix="1" applyNumberFormat="1" applyFont="1" applyBorder="1" applyProtection="1">
      <protection hidden="1"/>
    </xf>
    <xf numFmtId="0" fontId="6" fillId="0" borderId="0" xfId="0" applyFont="1" applyBorder="1" applyProtection="1">
      <protection hidden="1"/>
    </xf>
    <xf numFmtId="0" fontId="0" fillId="0" borderId="15" xfId="0" applyBorder="1" applyProtection="1">
      <protection hidden="1"/>
    </xf>
    <xf numFmtId="0" fontId="0" fillId="0" borderId="6" xfId="0" applyFill="1" applyBorder="1" applyProtection="1">
      <protection hidden="1"/>
    </xf>
    <xf numFmtId="0" fontId="8" fillId="0" borderId="15" xfId="0" applyFont="1" applyBorder="1" applyProtection="1">
      <protection hidden="1"/>
    </xf>
    <xf numFmtId="0" fontId="0" fillId="0" borderId="12" xfId="0" applyBorder="1" applyProtection="1">
      <protection hidden="1"/>
    </xf>
    <xf numFmtId="0" fontId="0" fillId="0" borderId="13" xfId="0" applyBorder="1" applyProtection="1">
      <protection hidden="1"/>
    </xf>
    <xf numFmtId="0" fontId="24" fillId="0" borderId="12" xfId="0" applyFont="1" applyBorder="1" applyProtection="1">
      <protection hidden="1"/>
    </xf>
    <xf numFmtId="0" fontId="24" fillId="0" borderId="14" xfId="0" applyFont="1" applyBorder="1" applyAlignment="1" applyProtection="1">
      <alignment horizontal="right"/>
      <protection hidden="1"/>
    </xf>
    <xf numFmtId="0" fontId="15" fillId="0" borderId="12" xfId="0" applyFont="1" applyBorder="1" applyAlignment="1" applyProtection="1">
      <alignment horizontal="right"/>
      <protection hidden="1"/>
    </xf>
    <xf numFmtId="0" fontId="0" fillId="0" borderId="14" xfId="0" applyBorder="1" applyProtection="1">
      <protection hidden="1"/>
    </xf>
    <xf numFmtId="0" fontId="24" fillId="13" borderId="4" xfId="0" applyFont="1" applyFill="1" applyBorder="1" applyAlignment="1" applyProtection="1">
      <alignment horizontal="right"/>
      <protection hidden="1"/>
    </xf>
    <xf numFmtId="0" fontId="26" fillId="0" borderId="6" xfId="0" applyFont="1" applyBorder="1" applyAlignment="1" applyProtection="1">
      <alignment horizontal="right"/>
      <protection hidden="1"/>
    </xf>
    <xf numFmtId="0" fontId="0" fillId="0" borderId="6" xfId="0" applyBorder="1" applyAlignment="1" applyProtection="1">
      <alignment horizontal="center"/>
      <protection hidden="1"/>
    </xf>
    <xf numFmtId="0" fontId="10" fillId="0" borderId="0" xfId="0" applyFont="1" applyFill="1" applyBorder="1" applyProtection="1">
      <protection hidden="1"/>
    </xf>
    <xf numFmtId="0" fontId="15" fillId="0" borderId="0" xfId="0" applyFont="1" applyBorder="1" applyProtection="1">
      <protection hidden="1"/>
    </xf>
    <xf numFmtId="0" fontId="27" fillId="0" borderId="5" xfId="0" applyFont="1" applyBorder="1" applyProtection="1">
      <protection hidden="1"/>
    </xf>
    <xf numFmtId="1" fontId="6" fillId="0" borderId="5" xfId="0" applyNumberFormat="1" applyFont="1" applyBorder="1" applyProtection="1">
      <protection hidden="1"/>
    </xf>
    <xf numFmtId="165" fontId="8" fillId="0" borderId="0" xfId="0" applyNumberFormat="1" applyFont="1" applyBorder="1" applyAlignment="1" applyProtection="1">
      <alignment horizontal="right"/>
      <protection hidden="1"/>
    </xf>
    <xf numFmtId="0" fontId="0" fillId="0" borderId="6" xfId="0" applyBorder="1" applyAlignment="1" applyProtection="1">
      <alignment horizontal="right"/>
      <protection hidden="1"/>
    </xf>
    <xf numFmtId="0" fontId="15" fillId="0" borderId="5" xfId="0" applyFont="1" applyBorder="1" applyProtection="1">
      <protection hidden="1"/>
    </xf>
    <xf numFmtId="1" fontId="0" fillId="0" borderId="0" xfId="0" applyNumberFormat="1" applyProtection="1">
      <protection hidden="1"/>
    </xf>
    <xf numFmtId="3" fontId="24" fillId="0" borderId="5" xfId="0" applyNumberFormat="1" applyFont="1" applyBorder="1" applyProtection="1">
      <protection hidden="1"/>
    </xf>
    <xf numFmtId="3" fontId="24" fillId="0" borderId="0" xfId="0" applyNumberFormat="1" applyFont="1" applyBorder="1" applyProtection="1">
      <protection hidden="1"/>
    </xf>
    <xf numFmtId="3" fontId="24" fillId="0" borderId="6" xfId="0" applyNumberFormat="1" applyFont="1" applyFill="1" applyBorder="1" applyAlignment="1" applyProtection="1">
      <alignment horizontal="left"/>
      <protection hidden="1"/>
    </xf>
    <xf numFmtId="3" fontId="15" fillId="0" borderId="5" xfId="0" applyNumberFormat="1" applyFont="1" applyFill="1" applyBorder="1" applyAlignment="1" applyProtection="1">
      <alignment horizontal="right"/>
      <protection hidden="1"/>
    </xf>
    <xf numFmtId="0" fontId="0" fillId="0" borderId="48" xfId="0" applyBorder="1" applyProtection="1">
      <protection hidden="1"/>
    </xf>
    <xf numFmtId="0" fontId="0" fillId="0" borderId="49" xfId="0" applyBorder="1" applyProtection="1">
      <protection hidden="1"/>
    </xf>
    <xf numFmtId="0" fontId="0" fillId="0" borderId="50" xfId="0" applyBorder="1" applyAlignment="1" applyProtection="1">
      <alignment horizontal="right"/>
      <protection hidden="1"/>
    </xf>
    <xf numFmtId="0" fontId="15" fillId="0" borderId="48" xfId="0" applyFont="1" applyBorder="1" applyAlignment="1" applyProtection="1">
      <alignment horizontal="right"/>
      <protection hidden="1"/>
    </xf>
    <xf numFmtId="0" fontId="0" fillId="0" borderId="50" xfId="0" applyBorder="1" applyAlignment="1" applyProtection="1">
      <alignment horizontal="left"/>
      <protection hidden="1"/>
    </xf>
    <xf numFmtId="0" fontId="8" fillId="0" borderId="51" xfId="0" applyFont="1" applyBorder="1" applyProtection="1">
      <protection hidden="1"/>
    </xf>
    <xf numFmtId="0" fontId="15" fillId="0" borderId="52" xfId="0" applyFont="1" applyBorder="1" applyProtection="1">
      <protection hidden="1"/>
    </xf>
    <xf numFmtId="3" fontId="0" fillId="0" borderId="53" xfId="0" applyNumberFormat="1" applyFill="1" applyBorder="1" applyAlignment="1" applyProtection="1">
      <alignment horizontal="right"/>
      <protection hidden="1"/>
    </xf>
    <xf numFmtId="0" fontId="0" fillId="0" borderId="53" xfId="0" applyBorder="1" applyProtection="1">
      <protection hidden="1"/>
    </xf>
    <xf numFmtId="0" fontId="24" fillId="0" borderId="54" xfId="0" applyFont="1" applyFill="1" applyBorder="1" applyAlignment="1" applyProtection="1">
      <alignment horizontal="left"/>
      <protection hidden="1"/>
    </xf>
    <xf numFmtId="0" fontId="15" fillId="0" borderId="52" xfId="0" applyFont="1" applyFill="1" applyBorder="1" applyAlignment="1" applyProtection="1">
      <alignment horizontal="right"/>
      <protection hidden="1"/>
    </xf>
    <xf numFmtId="0" fontId="0" fillId="0" borderId="54" xfId="0" applyBorder="1" applyAlignment="1" applyProtection="1">
      <alignment horizontal="left" vertical="center"/>
      <protection hidden="1"/>
    </xf>
    <xf numFmtId="0" fontId="0" fillId="0" borderId="55" xfId="0" applyFill="1" applyBorder="1" applyProtection="1">
      <protection hidden="1"/>
    </xf>
    <xf numFmtId="0" fontId="0" fillId="0" borderId="56" xfId="0" applyFill="1" applyBorder="1" applyProtection="1">
      <protection hidden="1"/>
    </xf>
    <xf numFmtId="0" fontId="0" fillId="0" borderId="45" xfId="0" applyFill="1" applyBorder="1" applyProtection="1">
      <protection hidden="1"/>
    </xf>
    <xf numFmtId="0" fontId="0" fillId="0" borderId="30" xfId="0" applyFill="1" applyBorder="1" applyProtection="1">
      <protection hidden="1"/>
    </xf>
    <xf numFmtId="0" fontId="10" fillId="0" borderId="6" xfId="0" applyFont="1" applyFill="1" applyBorder="1" applyAlignment="1" applyProtection="1">
      <alignment horizontal="left"/>
      <protection hidden="1"/>
    </xf>
    <xf numFmtId="3" fontId="27" fillId="0" borderId="0" xfId="0" applyNumberFormat="1" applyFont="1" applyBorder="1" applyAlignment="1" applyProtection="1">
      <alignment horizontal="right"/>
      <protection hidden="1"/>
    </xf>
    <xf numFmtId="0" fontId="0" fillId="13" borderId="4" xfId="0" applyFill="1" applyBorder="1" applyAlignment="1" applyProtection="1">
      <alignment horizontal="right"/>
      <protection hidden="1"/>
    </xf>
    <xf numFmtId="0" fontId="0" fillId="13" borderId="4" xfId="0" applyFill="1" applyBorder="1" applyAlignment="1" applyProtection="1">
      <alignment horizontal="left"/>
      <protection hidden="1"/>
    </xf>
    <xf numFmtId="0" fontId="9" fillId="0" borderId="0" xfId="0" applyFont="1" applyBorder="1" applyAlignment="1" applyProtection="1">
      <alignment horizontal="right"/>
      <protection hidden="1"/>
    </xf>
    <xf numFmtId="0" fontId="0" fillId="0" borderId="16" xfId="0" applyBorder="1" applyProtection="1">
      <protection hidden="1"/>
    </xf>
    <xf numFmtId="0" fontId="0" fillId="0" borderId="8" xfId="0" applyBorder="1" applyAlignment="1" applyProtection="1">
      <alignment horizontal="right"/>
      <protection hidden="1"/>
    </xf>
    <xf numFmtId="0" fontId="0" fillId="0" borderId="26" xfId="0" applyFill="1" applyBorder="1" applyProtection="1">
      <protection hidden="1"/>
    </xf>
    <xf numFmtId="9" fontId="24" fillId="0" borderId="6" xfId="0" applyNumberFormat="1" applyFont="1" applyFill="1" applyBorder="1" applyAlignment="1" applyProtection="1">
      <alignment horizontal="left"/>
      <protection hidden="1"/>
    </xf>
    <xf numFmtId="9" fontId="15" fillId="0" borderId="5" xfId="0" applyNumberFormat="1" applyFont="1" applyFill="1" applyBorder="1" applyAlignment="1" applyProtection="1">
      <alignment horizontal="right"/>
      <protection hidden="1"/>
    </xf>
    <xf numFmtId="0" fontId="15" fillId="0" borderId="7" xfId="0" applyFont="1" applyBorder="1" applyAlignment="1" applyProtection="1">
      <alignment horizontal="right"/>
      <protection hidden="1"/>
    </xf>
    <xf numFmtId="0" fontId="0" fillId="0" borderId="8" xfId="0" applyBorder="1" applyAlignment="1" applyProtection="1">
      <alignment horizontal="left"/>
      <protection hidden="1"/>
    </xf>
    <xf numFmtId="164" fontId="0" fillId="0" borderId="0" xfId="0" applyNumberFormat="1" applyFill="1" applyBorder="1" applyAlignment="1" applyProtection="1">
      <alignment horizontal="left"/>
      <protection hidden="1"/>
    </xf>
    <xf numFmtId="3" fontId="0" fillId="0" borderId="30" xfId="0" applyNumberFormat="1" applyFill="1" applyBorder="1" applyAlignment="1" applyProtection="1">
      <alignment horizontal="right"/>
      <protection hidden="1"/>
    </xf>
    <xf numFmtId="166" fontId="24" fillId="0" borderId="6" xfId="0" applyNumberFormat="1" applyFont="1" applyFill="1" applyBorder="1" applyProtection="1">
      <protection hidden="1"/>
    </xf>
    <xf numFmtId="166" fontId="15" fillId="0" borderId="5" xfId="0" applyNumberFormat="1" applyFont="1" applyFill="1" applyBorder="1" applyAlignment="1" applyProtection="1">
      <alignment horizontal="right"/>
      <protection hidden="1"/>
    </xf>
    <xf numFmtId="0" fontId="28" fillId="0" borderId="0" xfId="0" applyFont="1" applyProtection="1">
      <protection hidden="1"/>
    </xf>
    <xf numFmtId="0" fontId="29" fillId="0" borderId="0" xfId="0" applyFont="1" applyProtection="1">
      <protection hidden="1"/>
    </xf>
    <xf numFmtId="0" fontId="30" fillId="0" borderId="0" xfId="0" applyFont="1" applyFill="1" applyProtection="1">
      <protection hidden="1"/>
    </xf>
    <xf numFmtId="0" fontId="30" fillId="0" borderId="0" xfId="0" quotePrefix="1" applyFont="1" applyFill="1" applyAlignment="1" applyProtection="1">
      <alignment horizontal="right"/>
      <protection hidden="1"/>
    </xf>
    <xf numFmtId="0" fontId="0" fillId="0" borderId="0" xfId="0" applyAlignment="1">
      <alignment horizontal="center"/>
    </xf>
    <xf numFmtId="0" fontId="0" fillId="0" borderId="0" xfId="0" applyAlignment="1">
      <alignment horizontal="center" textRotation="90"/>
    </xf>
    <xf numFmtId="165" fontId="0" fillId="0" borderId="0" xfId="0" applyNumberFormat="1" applyAlignment="1">
      <alignment horizontal="center"/>
    </xf>
    <xf numFmtId="0" fontId="38" fillId="0" borderId="0" xfId="0" quotePrefix="1" applyFont="1" applyBorder="1" applyProtection="1">
      <protection hidden="1"/>
    </xf>
    <xf numFmtId="0" fontId="39" fillId="0" borderId="5" xfId="0" applyFont="1" applyBorder="1" applyProtection="1">
      <protection hidden="1"/>
    </xf>
    <xf numFmtId="0" fontId="39" fillId="0" borderId="0" xfId="0" applyFont="1" applyBorder="1" applyProtection="1">
      <protection hidden="1"/>
    </xf>
    <xf numFmtId="0" fontId="36" fillId="0" borderId="5" xfId="0" applyFont="1" applyBorder="1" applyProtection="1">
      <protection hidden="1"/>
    </xf>
    <xf numFmtId="0" fontId="36" fillId="0" borderId="0" xfId="0" applyFont="1" applyBorder="1" applyProtection="1">
      <protection hidden="1"/>
    </xf>
    <xf numFmtId="0" fontId="16" fillId="0" borderId="0" xfId="0" applyFont="1" applyBorder="1" applyProtection="1">
      <protection hidden="1"/>
    </xf>
    <xf numFmtId="0" fontId="36" fillId="0" borderId="0" xfId="0" applyFont="1" applyFill="1" applyBorder="1" applyAlignment="1" applyProtection="1">
      <alignment horizontal="right"/>
      <protection hidden="1"/>
    </xf>
    <xf numFmtId="1" fontId="36" fillId="0" borderId="0" xfId="0" applyNumberFormat="1" applyFont="1" applyFill="1" applyBorder="1" applyAlignment="1" applyProtection="1">
      <alignment horizontal="right"/>
      <protection hidden="1"/>
    </xf>
    <xf numFmtId="3" fontId="36" fillId="0" borderId="0" xfId="0" applyNumberFormat="1" applyFont="1" applyFill="1" applyBorder="1" applyAlignment="1" applyProtection="1">
      <alignment horizontal="right"/>
      <protection hidden="1"/>
    </xf>
    <xf numFmtId="0" fontId="36" fillId="0" borderId="7" xfId="0" applyFont="1" applyBorder="1" applyProtection="1">
      <protection hidden="1"/>
    </xf>
    <xf numFmtId="0" fontId="36" fillId="0" borderId="1" xfId="0" applyFont="1" applyBorder="1" applyProtection="1">
      <protection hidden="1"/>
    </xf>
    <xf numFmtId="0" fontId="36" fillId="13" borderId="2" xfId="0" applyFont="1" applyFill="1" applyBorder="1" applyProtection="1">
      <protection hidden="1"/>
    </xf>
    <xf numFmtId="0" fontId="36" fillId="13" borderId="3" xfId="0" applyFont="1" applyFill="1" applyBorder="1" applyProtection="1">
      <protection hidden="1"/>
    </xf>
    <xf numFmtId="0" fontId="13" fillId="0" borderId="0" xfId="0" applyFont="1" applyBorder="1" applyProtection="1">
      <protection hidden="1"/>
    </xf>
    <xf numFmtId="0" fontId="36" fillId="0" borderId="0" xfId="0" applyFont="1" applyProtection="1">
      <protection hidden="1"/>
    </xf>
    <xf numFmtId="0" fontId="36" fillId="0" borderId="12" xfId="0" applyFont="1" applyBorder="1" applyProtection="1">
      <protection hidden="1"/>
    </xf>
    <xf numFmtId="0" fontId="36" fillId="0" borderId="13" xfId="0" applyFont="1" applyBorder="1" applyProtection="1">
      <protection hidden="1"/>
    </xf>
    <xf numFmtId="1" fontId="40" fillId="0" borderId="9" xfId="0" applyNumberFormat="1" applyFont="1" applyBorder="1" applyProtection="1">
      <protection hidden="1"/>
    </xf>
    <xf numFmtId="1" fontId="40" fillId="0" borderId="0" xfId="0" applyNumberFormat="1" applyFont="1" applyBorder="1" applyProtection="1">
      <protection hidden="1"/>
    </xf>
    <xf numFmtId="0" fontId="41" fillId="0" borderId="0" xfId="0" applyFont="1" applyFill="1" applyBorder="1" applyAlignment="1" applyProtection="1">
      <alignment horizontal="right"/>
      <protection hidden="1"/>
    </xf>
    <xf numFmtId="0" fontId="41" fillId="0" borderId="0" xfId="0" applyFont="1" applyFill="1" applyBorder="1" applyProtection="1">
      <protection hidden="1"/>
    </xf>
    <xf numFmtId="0" fontId="41" fillId="0" borderId="0" xfId="0" applyFont="1" applyFill="1" applyProtection="1">
      <protection hidden="1"/>
    </xf>
    <xf numFmtId="0" fontId="37" fillId="0" borderId="0" xfId="0" applyFont="1" applyFill="1" applyBorder="1" applyAlignment="1" applyProtection="1">
      <alignment horizontal="right"/>
      <protection hidden="1"/>
    </xf>
    <xf numFmtId="0" fontId="37" fillId="0" borderId="0" xfId="0" applyFont="1" applyFill="1" applyProtection="1">
      <protection hidden="1"/>
    </xf>
    <xf numFmtId="0" fontId="40" fillId="0" borderId="0" xfId="0" applyFont="1" applyFill="1" applyBorder="1" applyProtection="1">
      <protection hidden="1"/>
    </xf>
    <xf numFmtId="0" fontId="37" fillId="0" borderId="0" xfId="0" applyFont="1" applyFill="1" applyBorder="1" applyProtection="1">
      <protection hidden="1"/>
    </xf>
    <xf numFmtId="0" fontId="40" fillId="0" borderId="0" xfId="0" applyFont="1" applyFill="1" applyProtection="1">
      <protection hidden="1"/>
    </xf>
    <xf numFmtId="0" fontId="40" fillId="0" borderId="0" xfId="0" applyFont="1" applyFill="1" applyBorder="1" applyAlignment="1" applyProtection="1">
      <alignment horizontal="right"/>
      <protection hidden="1"/>
    </xf>
    <xf numFmtId="0" fontId="40" fillId="0" borderId="0" xfId="0" applyFont="1" applyFill="1" applyBorder="1" applyAlignment="1" applyProtection="1">
      <alignment horizontal="left"/>
      <protection hidden="1"/>
    </xf>
    <xf numFmtId="0" fontId="0" fillId="0" borderId="5" xfId="0" applyFont="1" applyBorder="1" applyAlignment="1" applyProtection="1">
      <alignment horizontal="center"/>
      <protection hidden="1"/>
    </xf>
    <xf numFmtId="0" fontId="38" fillId="0" borderId="0" xfId="0" applyFont="1" applyBorder="1" applyProtection="1">
      <protection hidden="1"/>
    </xf>
    <xf numFmtId="1" fontId="8" fillId="0" borderId="0" xfId="0" applyNumberFormat="1" applyFont="1" applyBorder="1" applyAlignment="1" applyProtection="1">
      <alignment horizontal="right"/>
      <protection hidden="1"/>
    </xf>
    <xf numFmtId="1" fontId="15" fillId="0" borderId="53" xfId="0" applyNumberFormat="1" applyFont="1" applyBorder="1" applyAlignment="1" applyProtection="1">
      <alignment horizontal="right" vertical="center"/>
      <protection hidden="1"/>
    </xf>
    <xf numFmtId="1" fontId="9" fillId="0" borderId="0" xfId="0" applyNumberFormat="1" applyFont="1" applyBorder="1" applyAlignment="1" applyProtection="1">
      <alignment horizontal="right"/>
      <protection hidden="1"/>
    </xf>
    <xf numFmtId="1" fontId="0" fillId="14" borderId="30" xfId="0" applyNumberFormat="1" applyFill="1" applyBorder="1" applyAlignment="1" applyProtection="1">
      <alignment horizontal="right"/>
      <protection locked="0"/>
    </xf>
    <xf numFmtId="3" fontId="0" fillId="14" borderId="30" xfId="0" applyNumberFormat="1" applyFill="1" applyBorder="1" applyAlignment="1" applyProtection="1">
      <alignment horizontal="right"/>
      <protection locked="0"/>
    </xf>
    <xf numFmtId="165" fontId="0" fillId="14" borderId="30" xfId="0" applyNumberFormat="1" applyFill="1" applyBorder="1" applyAlignment="1" applyProtection="1">
      <alignment horizontal="right"/>
      <protection locked="0"/>
    </xf>
    <xf numFmtId="3" fontId="0" fillId="15" borderId="37" xfId="0" applyNumberFormat="1" applyFill="1" applyBorder="1" applyProtection="1">
      <protection locked="0"/>
    </xf>
    <xf numFmtId="1" fontId="0" fillId="14" borderId="40" xfId="1" applyNumberFormat="1" applyFont="1" applyFill="1" applyBorder="1" applyProtection="1">
      <protection locked="0"/>
    </xf>
    <xf numFmtId="1" fontId="0" fillId="14" borderId="43" xfId="0" applyNumberFormat="1" applyFill="1" applyBorder="1" applyProtection="1">
      <protection locked="0"/>
    </xf>
    <xf numFmtId="1" fontId="0" fillId="14" borderId="42" xfId="0" applyNumberFormat="1" applyFill="1" applyBorder="1" applyProtection="1">
      <protection locked="0"/>
    </xf>
    <xf numFmtId="1" fontId="0" fillId="14" borderId="39" xfId="1" applyNumberFormat="1" applyFont="1" applyFill="1" applyBorder="1" applyProtection="1">
      <protection locked="0"/>
    </xf>
    <xf numFmtId="3" fontId="0" fillId="15" borderId="36" xfId="0" applyNumberFormat="1" applyFill="1" applyBorder="1" applyProtection="1">
      <protection locked="0"/>
    </xf>
    <xf numFmtId="3" fontId="0" fillId="14" borderId="35" xfId="0" applyNumberFormat="1" applyFill="1" applyBorder="1" applyProtection="1">
      <protection locked="0"/>
    </xf>
    <xf numFmtId="1" fontId="0" fillId="14" borderId="30" xfId="1" applyNumberFormat="1" applyFont="1" applyFill="1" applyBorder="1" applyProtection="1">
      <protection locked="0"/>
    </xf>
    <xf numFmtId="1" fontId="0" fillId="14" borderId="41" xfId="0" applyNumberFormat="1" applyFill="1" applyBorder="1" applyProtection="1">
      <protection locked="0"/>
    </xf>
    <xf numFmtId="1" fontId="0" fillId="14" borderId="12" xfId="0" applyNumberFormat="1" applyFill="1" applyBorder="1" applyProtection="1">
      <protection locked="0"/>
    </xf>
    <xf numFmtId="1" fontId="0" fillId="14" borderId="38" xfId="1" applyNumberFormat="1" applyFont="1" applyFill="1" applyBorder="1" applyProtection="1">
      <protection locked="0"/>
    </xf>
    <xf numFmtId="3" fontId="0" fillId="14" borderId="5" xfId="0" applyNumberFormat="1" applyFill="1" applyBorder="1" applyProtection="1">
      <protection locked="0"/>
    </xf>
    <xf numFmtId="3" fontId="0" fillId="14" borderId="45" xfId="0" applyNumberFormat="1" applyFill="1" applyBorder="1" applyProtection="1">
      <protection locked="0"/>
    </xf>
    <xf numFmtId="3" fontId="0" fillId="14" borderId="30" xfId="0" applyNumberFormat="1" applyFill="1" applyBorder="1" applyProtection="1">
      <protection locked="0"/>
    </xf>
    <xf numFmtId="3" fontId="0" fillId="14" borderId="20" xfId="0" applyNumberFormat="1" applyFill="1" applyBorder="1" applyProtection="1">
      <protection locked="0"/>
    </xf>
    <xf numFmtId="3" fontId="0" fillId="14" borderId="46" xfId="0" applyNumberFormat="1" applyFill="1" applyBorder="1" applyProtection="1">
      <protection locked="0"/>
    </xf>
    <xf numFmtId="3" fontId="0" fillId="14" borderId="47" xfId="0" applyNumberFormat="1" applyFill="1" applyBorder="1" applyProtection="1">
      <protection locked="0"/>
    </xf>
    <xf numFmtId="1" fontId="0" fillId="14" borderId="45" xfId="1" applyNumberFormat="1" applyFont="1" applyFill="1" applyBorder="1" applyProtection="1">
      <protection locked="0"/>
    </xf>
    <xf numFmtId="1" fontId="0" fillId="14" borderId="45" xfId="0" applyNumberFormat="1" applyFill="1" applyBorder="1" applyProtection="1">
      <protection locked="0"/>
    </xf>
    <xf numFmtId="3" fontId="0" fillId="14" borderId="45" xfId="0" applyNumberFormat="1" applyFill="1" applyBorder="1" applyAlignment="1" applyProtection="1">
      <alignment horizontal="right"/>
      <protection locked="0"/>
    </xf>
    <xf numFmtId="2" fontId="0" fillId="14" borderId="45" xfId="0" applyNumberFormat="1" applyFill="1" applyBorder="1" applyAlignment="1" applyProtection="1">
      <alignment horizontal="right"/>
      <protection locked="0"/>
    </xf>
    <xf numFmtId="1" fontId="0" fillId="2" borderId="45" xfId="0" applyNumberFormat="1" applyFill="1" applyBorder="1" applyProtection="1">
      <protection locked="0"/>
    </xf>
    <xf numFmtId="1" fontId="0" fillId="2" borderId="30" xfId="0" applyNumberFormat="1" applyFill="1" applyBorder="1" applyProtection="1">
      <protection locked="0"/>
    </xf>
    <xf numFmtId="0" fontId="2" fillId="0" borderId="0" xfId="0" applyFont="1" applyAlignment="1" applyProtection="1">
      <alignment horizontal="left" vertical="center"/>
      <protection hidden="1"/>
    </xf>
    <xf numFmtId="0" fontId="0" fillId="0" borderId="0" xfId="0" applyAlignment="1" applyProtection="1">
      <alignment horizontal="right"/>
      <protection hidden="1"/>
    </xf>
    <xf numFmtId="0" fontId="3" fillId="0" borderId="0" xfId="0" applyFont="1" applyAlignment="1" applyProtection="1">
      <alignment horizontal="left"/>
      <protection hidden="1"/>
    </xf>
    <xf numFmtId="0" fontId="4" fillId="0" borderId="0" xfId="0" applyFont="1" applyAlignment="1" applyProtection="1">
      <alignment horizontal="left"/>
      <protection hidden="1"/>
    </xf>
    <xf numFmtId="0" fontId="6" fillId="0" borderId="0" xfId="0" applyFont="1" applyProtection="1">
      <protection hidden="1"/>
    </xf>
    <xf numFmtId="49" fontId="7" fillId="0" borderId="0" xfId="0" quotePrefix="1" applyNumberFormat="1" applyFont="1" applyAlignment="1" applyProtection="1">
      <alignment horizontal="center"/>
      <protection hidden="1"/>
    </xf>
    <xf numFmtId="49" fontId="7" fillId="0" borderId="0" xfId="0" applyNumberFormat="1" applyFont="1" applyAlignment="1" applyProtection="1">
      <alignment horizontal="center"/>
      <protection hidden="1"/>
    </xf>
    <xf numFmtId="0" fontId="0" fillId="13" borderId="5" xfId="0" applyFill="1" applyBorder="1" applyAlignment="1" applyProtection="1">
      <alignment horizontal="right"/>
      <protection hidden="1"/>
    </xf>
    <xf numFmtId="0" fontId="10" fillId="13" borderId="5" xfId="0" applyFont="1" applyFill="1" applyBorder="1" applyAlignment="1" applyProtection="1">
      <alignment horizontal="right"/>
      <protection hidden="1"/>
    </xf>
    <xf numFmtId="0" fontId="10" fillId="13" borderId="3" xfId="0" applyFont="1" applyFill="1" applyBorder="1" applyProtection="1">
      <protection hidden="1"/>
    </xf>
    <xf numFmtId="0" fontId="10" fillId="13" borderId="4" xfId="0" applyFont="1" applyFill="1" applyBorder="1" applyProtection="1">
      <protection hidden="1"/>
    </xf>
    <xf numFmtId="0" fontId="11" fillId="0" borderId="5" xfId="0" applyFont="1" applyBorder="1" applyAlignment="1" applyProtection="1">
      <alignment horizontal="right"/>
      <protection hidden="1"/>
    </xf>
    <xf numFmtId="0" fontId="10" fillId="0" borderId="6" xfId="0" applyFont="1" applyBorder="1" applyProtection="1">
      <protection hidden="1"/>
    </xf>
    <xf numFmtId="0" fontId="10" fillId="0" borderId="9" xfId="0" applyFont="1" applyBorder="1" applyProtection="1">
      <protection hidden="1"/>
    </xf>
    <xf numFmtId="0" fontId="10" fillId="0" borderId="10" xfId="0" applyFont="1" applyBorder="1" applyProtection="1">
      <protection hidden="1"/>
    </xf>
    <xf numFmtId="0" fontId="10" fillId="0" borderId="11" xfId="0" applyFont="1" applyBorder="1" applyProtection="1">
      <protection hidden="1"/>
    </xf>
    <xf numFmtId="9" fontId="12" fillId="0" borderId="5" xfId="0" applyNumberFormat="1" applyFont="1" applyBorder="1" applyAlignment="1" applyProtection="1">
      <alignment horizontal="right"/>
      <protection hidden="1"/>
    </xf>
    <xf numFmtId="9" fontId="10" fillId="0" borderId="5" xfId="0" applyNumberFormat="1" applyFont="1" applyBorder="1" applyAlignment="1" applyProtection="1">
      <alignment horizontal="right"/>
      <protection hidden="1"/>
    </xf>
    <xf numFmtId="0" fontId="10" fillId="0" borderId="6" xfId="0" applyFont="1" applyBorder="1" applyAlignment="1" applyProtection="1">
      <alignment horizontal="left"/>
      <protection hidden="1"/>
    </xf>
    <xf numFmtId="0" fontId="10" fillId="0" borderId="0" xfId="0" applyFont="1" applyFill="1" applyBorder="1" applyAlignment="1" applyProtection="1">
      <alignment horizontal="right"/>
      <protection hidden="1"/>
    </xf>
    <xf numFmtId="0" fontId="10" fillId="0" borderId="0" xfId="0" applyFont="1" applyBorder="1" applyAlignment="1" applyProtection="1">
      <alignment horizontal="right"/>
      <protection hidden="1"/>
    </xf>
    <xf numFmtId="164" fontId="12" fillId="0" borderId="5" xfId="0" applyNumberFormat="1" applyFont="1" applyBorder="1" applyAlignment="1" applyProtection="1">
      <alignment horizontal="right"/>
      <protection hidden="1"/>
    </xf>
    <xf numFmtId="164" fontId="10" fillId="0" borderId="5" xfId="0" applyNumberFormat="1" applyFont="1" applyBorder="1" applyAlignment="1" applyProtection="1">
      <alignment horizontal="right"/>
      <protection hidden="1"/>
    </xf>
    <xf numFmtId="0" fontId="12" fillId="0" borderId="5" xfId="0" applyFont="1" applyBorder="1" applyAlignment="1" applyProtection="1">
      <alignment horizontal="right"/>
      <protection hidden="1"/>
    </xf>
    <xf numFmtId="0" fontId="10" fillId="0" borderId="5" xfId="0" applyFont="1" applyBorder="1" applyAlignment="1" applyProtection="1">
      <alignment horizontal="right"/>
      <protection hidden="1"/>
    </xf>
    <xf numFmtId="0" fontId="0" fillId="0" borderId="7" xfId="0" applyBorder="1" applyAlignment="1" applyProtection="1">
      <alignment horizontal="right"/>
      <protection hidden="1"/>
    </xf>
    <xf numFmtId="0" fontId="10" fillId="0" borderId="7" xfId="0" applyFont="1" applyBorder="1" applyAlignment="1" applyProtection="1">
      <alignment horizontal="right"/>
      <protection hidden="1"/>
    </xf>
    <xf numFmtId="0" fontId="10" fillId="0" borderId="1" xfId="0" applyFont="1" applyBorder="1" applyProtection="1">
      <protection hidden="1"/>
    </xf>
    <xf numFmtId="0" fontId="10" fillId="0" borderId="8" xfId="0" applyFont="1" applyBorder="1" applyProtection="1">
      <protection hidden="1"/>
    </xf>
    <xf numFmtId="0" fontId="0" fillId="13" borderId="2" xfId="0" applyFill="1" applyBorder="1" applyAlignment="1" applyProtection="1">
      <alignment horizontal="right"/>
      <protection hidden="1"/>
    </xf>
    <xf numFmtId="0" fontId="10" fillId="13" borderId="2" xfId="0" applyFont="1" applyFill="1" applyBorder="1" applyAlignment="1" applyProtection="1">
      <alignment horizontal="right"/>
      <protection hidden="1"/>
    </xf>
    <xf numFmtId="0" fontId="0" fillId="0" borderId="9" xfId="0" applyBorder="1" applyAlignment="1" applyProtection="1">
      <alignment horizontal="right"/>
      <protection hidden="1"/>
    </xf>
    <xf numFmtId="0" fontId="10" fillId="0" borderId="9" xfId="0" applyFont="1" applyBorder="1" applyAlignment="1" applyProtection="1">
      <alignment horizontal="right"/>
      <protection hidden="1"/>
    </xf>
    <xf numFmtId="0" fontId="0" fillId="0" borderId="5" xfId="0" applyBorder="1" applyAlignment="1" applyProtection="1">
      <alignment horizontal="right"/>
      <protection hidden="1"/>
    </xf>
    <xf numFmtId="0" fontId="15" fillId="0" borderId="12" xfId="0" applyFont="1" applyFill="1" applyBorder="1" applyAlignment="1" applyProtection="1">
      <alignment horizontal="right"/>
      <protection hidden="1"/>
    </xf>
    <xf numFmtId="0" fontId="9" fillId="0" borderId="14" xfId="0" applyFont="1" applyBorder="1" applyAlignment="1" applyProtection="1">
      <alignment horizontal="left"/>
      <protection hidden="1"/>
    </xf>
    <xf numFmtId="0" fontId="0" fillId="0" borderId="12" xfId="0" applyBorder="1" applyAlignment="1" applyProtection="1">
      <alignment horizontal="right"/>
      <protection hidden="1"/>
    </xf>
    <xf numFmtId="0" fontId="10" fillId="0" borderId="12" xfId="0" applyFont="1" applyBorder="1" applyAlignment="1" applyProtection="1">
      <alignment horizontal="right"/>
      <protection hidden="1"/>
    </xf>
    <xf numFmtId="0" fontId="10" fillId="0" borderId="13" xfId="0" applyFont="1" applyBorder="1" applyProtection="1">
      <protection hidden="1"/>
    </xf>
    <xf numFmtId="0" fontId="10" fillId="0" borderId="14" xfId="0" applyFont="1" applyBorder="1" applyProtection="1">
      <protection hidden="1"/>
    </xf>
    <xf numFmtId="0" fontId="10" fillId="0" borderId="0" xfId="0" applyFont="1" applyBorder="1" applyAlignment="1" applyProtection="1">
      <alignment horizontal="center"/>
      <protection hidden="1"/>
    </xf>
    <xf numFmtId="0" fontId="10" fillId="0" borderId="6" xfId="0" applyFont="1" applyBorder="1" applyAlignment="1" applyProtection="1">
      <alignment horizontal="center"/>
      <protection hidden="1"/>
    </xf>
    <xf numFmtId="0" fontId="0" fillId="0" borderId="1" xfId="0" applyBorder="1" applyAlignment="1" applyProtection="1">
      <alignment horizontal="center"/>
      <protection hidden="1"/>
    </xf>
    <xf numFmtId="0" fontId="10" fillId="0" borderId="1" xfId="0" applyFont="1" applyBorder="1" applyAlignment="1" applyProtection="1">
      <alignment horizontal="center"/>
      <protection hidden="1"/>
    </xf>
    <xf numFmtId="0" fontId="10" fillId="0" borderId="8" xfId="0" applyFont="1" applyBorder="1" applyAlignment="1" applyProtection="1">
      <alignment horizontal="left"/>
      <protection hidden="1"/>
    </xf>
    <xf numFmtId="0" fontId="0" fillId="13" borderId="6" xfId="0" applyFill="1" applyBorder="1" applyAlignment="1" applyProtection="1">
      <alignment horizontal="left"/>
      <protection hidden="1"/>
    </xf>
    <xf numFmtId="0" fontId="10" fillId="13" borderId="0" xfId="0" applyFont="1" applyFill="1" applyBorder="1" applyProtection="1">
      <protection hidden="1"/>
    </xf>
    <xf numFmtId="0" fontId="10" fillId="13" borderId="6" xfId="0" applyFont="1" applyFill="1" applyBorder="1" applyAlignment="1" applyProtection="1">
      <alignment horizontal="left"/>
      <protection hidden="1"/>
    </xf>
    <xf numFmtId="0" fontId="0" fillId="0" borderId="11" xfId="0" applyBorder="1" applyAlignment="1" applyProtection="1">
      <alignment horizontal="left"/>
      <protection hidden="1"/>
    </xf>
    <xf numFmtId="0" fontId="10" fillId="0" borderId="11" xfId="0" applyFont="1" applyBorder="1" applyAlignment="1" applyProtection="1">
      <alignment horizontal="left"/>
      <protection hidden="1"/>
    </xf>
    <xf numFmtId="0" fontId="0" fillId="0" borderId="6" xfId="0" applyBorder="1" applyAlignment="1" applyProtection="1">
      <alignment horizontal="left" vertical="center"/>
      <protection hidden="1"/>
    </xf>
    <xf numFmtId="0" fontId="10" fillId="0" borderId="6" xfId="0" applyFont="1" applyBorder="1" applyAlignment="1" applyProtection="1">
      <alignment horizontal="left" vertical="center"/>
      <protection hidden="1"/>
    </xf>
    <xf numFmtId="3" fontId="15" fillId="0" borderId="12" xfId="0" applyNumberFormat="1" applyFont="1" applyFill="1" applyBorder="1" applyAlignment="1" applyProtection="1">
      <alignment horizontal="right"/>
      <protection hidden="1"/>
    </xf>
    <xf numFmtId="0" fontId="10" fillId="0" borderId="5" xfId="0" applyFont="1" applyFill="1" applyBorder="1" applyAlignment="1" applyProtection="1">
      <alignment horizontal="right"/>
      <protection hidden="1"/>
    </xf>
    <xf numFmtId="0" fontId="12" fillId="0" borderId="6" xfId="0" applyFont="1" applyBorder="1" applyAlignment="1" applyProtection="1">
      <alignment horizontal="left"/>
      <protection hidden="1"/>
    </xf>
    <xf numFmtId="3" fontId="15" fillId="0" borderId="0" xfId="0" applyNumberFormat="1" applyFont="1" applyBorder="1" applyAlignment="1" applyProtection="1">
      <alignment horizontal="right"/>
      <protection hidden="1"/>
    </xf>
    <xf numFmtId="0" fontId="10" fillId="13" borderId="4" xfId="0" applyFont="1" applyFill="1" applyBorder="1" applyAlignment="1" applyProtection="1">
      <alignment horizontal="left"/>
      <protection hidden="1"/>
    </xf>
    <xf numFmtId="0" fontId="12" fillId="0" borderId="5" xfId="0" applyFont="1" applyFill="1" applyBorder="1" applyAlignment="1" applyProtection="1">
      <alignment horizontal="right"/>
      <protection hidden="1"/>
    </xf>
    <xf numFmtId="0" fontId="19" fillId="0" borderId="0" xfId="0" applyFont="1" applyBorder="1" applyProtection="1">
      <protection hidden="1"/>
    </xf>
    <xf numFmtId="0" fontId="0" fillId="0" borderId="0" xfId="0" applyFill="1" applyProtection="1">
      <protection hidden="1"/>
    </xf>
    <xf numFmtId="0" fontId="0" fillId="0" borderId="0" xfId="0" applyFill="1" applyAlignment="1" applyProtection="1">
      <alignment horizontal="right"/>
      <protection hidden="1"/>
    </xf>
    <xf numFmtId="0" fontId="11" fillId="0" borderId="0" xfId="0" applyFont="1" applyFill="1" applyAlignment="1" applyProtection="1">
      <alignment horizontal="right"/>
      <protection hidden="1"/>
    </xf>
    <xf numFmtId="0" fontId="11" fillId="0" borderId="0" xfId="0" applyFont="1" applyFill="1" applyAlignment="1" applyProtection="1">
      <alignment horizontal="left"/>
      <protection hidden="1"/>
    </xf>
    <xf numFmtId="0" fontId="20" fillId="0" borderId="0" xfId="0" applyFont="1" applyFill="1" applyAlignment="1" applyProtection="1">
      <alignment horizontal="right"/>
      <protection hidden="1"/>
    </xf>
    <xf numFmtId="0" fontId="20" fillId="0" borderId="0" xfId="0" applyFont="1" applyFill="1" applyAlignment="1" applyProtection="1">
      <alignment horizontal="left"/>
      <protection hidden="1"/>
    </xf>
    <xf numFmtId="0" fontId="0" fillId="0" borderId="0" xfId="0" applyFill="1" applyAlignment="1" applyProtection="1">
      <alignment horizontal="left"/>
      <protection hidden="1"/>
    </xf>
    <xf numFmtId="0" fontId="9" fillId="0" borderId="0" xfId="0" applyFont="1" applyFill="1" applyAlignment="1" applyProtection="1">
      <alignment horizontal="right"/>
      <protection hidden="1"/>
    </xf>
    <xf numFmtId="0" fontId="9" fillId="0" borderId="0" xfId="0" applyFont="1" applyFill="1" applyAlignment="1" applyProtection="1">
      <alignment horizontal="left"/>
      <protection hidden="1"/>
    </xf>
    <xf numFmtId="0" fontId="5" fillId="0" borderId="0" xfId="0" quotePrefix="1" applyFont="1" applyProtection="1">
      <protection hidden="1"/>
    </xf>
    <xf numFmtId="0" fontId="10" fillId="16" borderId="0" xfId="0" applyFont="1" applyFill="1" applyBorder="1" applyAlignment="1" applyProtection="1">
      <alignment horizontal="right"/>
      <protection hidden="1"/>
    </xf>
    <xf numFmtId="0" fontId="8" fillId="16" borderId="13" xfId="0" applyFont="1" applyFill="1" applyBorder="1" applyAlignment="1" applyProtection="1">
      <alignment horizontal="right"/>
      <protection hidden="1"/>
    </xf>
    <xf numFmtId="165" fontId="8" fillId="16" borderId="0" xfId="0" applyNumberFormat="1" applyFont="1" applyFill="1" applyBorder="1" applyAlignment="1" applyProtection="1">
      <alignment horizontal="right"/>
      <protection hidden="1"/>
    </xf>
    <xf numFmtId="0" fontId="38" fillId="0" borderId="10" xfId="0" applyFont="1" applyBorder="1" applyProtection="1">
      <protection hidden="1"/>
    </xf>
    <xf numFmtId="0" fontId="38" fillId="0" borderId="11" xfId="0" applyFont="1" applyBorder="1" applyProtection="1">
      <protection hidden="1"/>
    </xf>
    <xf numFmtId="0" fontId="38" fillId="0" borderId="9" xfId="0" applyFont="1" applyBorder="1" applyProtection="1">
      <protection hidden="1"/>
    </xf>
    <xf numFmtId="0" fontId="38" fillId="0" borderId="6" xfId="0" applyFont="1" applyBorder="1" applyProtection="1">
      <protection hidden="1"/>
    </xf>
    <xf numFmtId="0" fontId="38" fillId="0" borderId="5" xfId="0" applyFont="1" applyBorder="1" applyProtection="1">
      <protection hidden="1"/>
    </xf>
    <xf numFmtId="0" fontId="38" fillId="0" borderId="6" xfId="0" applyFont="1" applyBorder="1" applyAlignment="1" applyProtection="1">
      <alignment horizontal="left"/>
      <protection hidden="1"/>
    </xf>
    <xf numFmtId="0" fontId="38" fillId="0" borderId="1" xfId="0" applyFont="1" applyBorder="1" applyProtection="1">
      <protection hidden="1"/>
    </xf>
    <xf numFmtId="0" fontId="38" fillId="0" borderId="8" xfId="0" applyFont="1" applyBorder="1" applyProtection="1">
      <protection hidden="1"/>
    </xf>
    <xf numFmtId="0" fontId="38" fillId="0" borderId="7" xfId="0" applyFont="1" applyBorder="1" applyAlignment="1" applyProtection="1">
      <alignment horizontal="right"/>
      <protection hidden="1"/>
    </xf>
    <xf numFmtId="0" fontId="38" fillId="13" borderId="3" xfId="0" applyFont="1" applyFill="1" applyBorder="1" applyProtection="1">
      <protection hidden="1"/>
    </xf>
    <xf numFmtId="0" fontId="38" fillId="13" borderId="4" xfId="0" applyFont="1" applyFill="1" applyBorder="1" applyProtection="1">
      <protection hidden="1"/>
    </xf>
    <xf numFmtId="0" fontId="38" fillId="13" borderId="2" xfId="0" applyFont="1" applyFill="1" applyBorder="1" applyAlignment="1" applyProtection="1">
      <alignment horizontal="right"/>
      <protection hidden="1"/>
    </xf>
    <xf numFmtId="0" fontId="38" fillId="0" borderId="9" xfId="0" applyFont="1" applyBorder="1" applyAlignment="1" applyProtection="1">
      <alignment horizontal="right"/>
      <protection hidden="1"/>
    </xf>
    <xf numFmtId="0" fontId="38" fillId="0" borderId="5" xfId="0" applyFont="1" applyBorder="1" applyAlignment="1" applyProtection="1">
      <alignment horizontal="right"/>
      <protection hidden="1"/>
    </xf>
    <xf numFmtId="0" fontId="38" fillId="0" borderId="13" xfId="0" applyFont="1" applyBorder="1" applyProtection="1">
      <protection hidden="1"/>
    </xf>
    <xf numFmtId="0" fontId="38" fillId="0" borderId="14" xfId="0" applyFont="1" applyBorder="1" applyProtection="1">
      <protection hidden="1"/>
    </xf>
    <xf numFmtId="0" fontId="38" fillId="0" borderId="12" xfId="0" applyFont="1" applyBorder="1" applyAlignment="1" applyProtection="1">
      <alignment horizontal="right"/>
      <protection hidden="1"/>
    </xf>
    <xf numFmtId="0" fontId="38" fillId="0" borderId="6" xfId="0" applyFont="1" applyBorder="1" applyAlignment="1" applyProtection="1">
      <alignment horizontal="center"/>
      <protection hidden="1"/>
    </xf>
    <xf numFmtId="0" fontId="38" fillId="0" borderId="1" xfId="0" applyFont="1" applyBorder="1" applyAlignment="1" applyProtection="1">
      <alignment horizontal="center"/>
      <protection hidden="1"/>
    </xf>
    <xf numFmtId="0" fontId="38" fillId="0" borderId="8" xfId="0" applyFont="1" applyBorder="1" applyAlignment="1" applyProtection="1">
      <alignment horizontal="left"/>
      <protection hidden="1"/>
    </xf>
    <xf numFmtId="0" fontId="38" fillId="13" borderId="0" xfId="0" applyFont="1" applyFill="1" applyBorder="1" applyProtection="1">
      <protection hidden="1"/>
    </xf>
    <xf numFmtId="0" fontId="38" fillId="13" borderId="6" xfId="0" applyFont="1" applyFill="1" applyBorder="1" applyAlignment="1" applyProtection="1">
      <alignment horizontal="left"/>
      <protection hidden="1"/>
    </xf>
    <xf numFmtId="0" fontId="38" fillId="13" borderId="5" xfId="0" applyFont="1" applyFill="1" applyBorder="1" applyAlignment="1" applyProtection="1">
      <alignment horizontal="right"/>
      <protection hidden="1"/>
    </xf>
    <xf numFmtId="0" fontId="38" fillId="0" borderId="11" xfId="0" applyFont="1" applyBorder="1" applyAlignment="1" applyProtection="1">
      <alignment horizontal="left"/>
      <protection hidden="1"/>
    </xf>
    <xf numFmtId="0" fontId="38" fillId="0" borderId="6" xfId="0" applyFont="1" applyBorder="1" applyAlignment="1" applyProtection="1">
      <alignment horizontal="left" vertical="center"/>
      <protection hidden="1"/>
    </xf>
    <xf numFmtId="0" fontId="38" fillId="13" borderId="4" xfId="0" applyFont="1" applyFill="1" applyBorder="1" applyAlignment="1" applyProtection="1">
      <alignment horizontal="left"/>
      <protection hidden="1"/>
    </xf>
    <xf numFmtId="0" fontId="13" fillId="0" borderId="0" xfId="0" applyFont="1" applyProtection="1">
      <protection hidden="1"/>
    </xf>
    <xf numFmtId="0" fontId="9" fillId="0" borderId="5" xfId="0" applyFont="1" applyBorder="1" applyProtection="1">
      <protection hidden="1"/>
    </xf>
    <xf numFmtId="1" fontId="15" fillId="0" borderId="5" xfId="0" applyNumberFormat="1" applyFont="1" applyBorder="1" applyProtection="1">
      <protection hidden="1"/>
    </xf>
    <xf numFmtId="0" fontId="10" fillId="0" borderId="0" xfId="0" applyFont="1" applyBorder="1" applyAlignment="1" applyProtection="1">
      <alignment horizontal="left"/>
      <protection hidden="1"/>
    </xf>
    <xf numFmtId="0" fontId="43" fillId="0" borderId="3" xfId="0" applyFont="1" applyBorder="1" applyAlignment="1">
      <alignment horizontal="center"/>
    </xf>
    <xf numFmtId="0" fontId="43" fillId="0" borderId="4" xfId="0" applyFont="1" applyBorder="1" applyAlignment="1">
      <alignment horizontal="center"/>
    </xf>
    <xf numFmtId="0" fontId="43" fillId="0" borderId="17" xfId="0" applyFont="1" applyBorder="1"/>
    <xf numFmtId="0" fontId="0" fillId="0" borderId="18" xfId="0" applyBorder="1"/>
    <xf numFmtId="0" fontId="43" fillId="0" borderId="18" xfId="0" applyFont="1" applyBorder="1"/>
    <xf numFmtId="0" fontId="43" fillId="19" borderId="2" xfId="0" applyFont="1" applyFill="1" applyBorder="1"/>
    <xf numFmtId="0" fontId="43" fillId="19" borderId="4" xfId="0" applyFont="1" applyFill="1" applyBorder="1"/>
    <xf numFmtId="0" fontId="43" fillId="16" borderId="2" xfId="0" applyFont="1" applyFill="1" applyBorder="1"/>
    <xf numFmtId="0" fontId="43" fillId="20" borderId="3" xfId="0" applyFont="1" applyFill="1" applyBorder="1"/>
    <xf numFmtId="0" fontId="43" fillId="21" borderId="4" xfId="0" applyFont="1" applyFill="1" applyBorder="1"/>
    <xf numFmtId="0" fontId="43" fillId="19" borderId="3" xfId="0" applyFont="1" applyFill="1" applyBorder="1"/>
    <xf numFmtId="0" fontId="43" fillId="16" borderId="2" xfId="0" applyFont="1" applyFill="1" applyBorder="1" applyAlignment="1">
      <alignment horizontal="center"/>
    </xf>
    <xf numFmtId="0" fontId="43" fillId="20" borderId="3" xfId="0" applyFont="1" applyFill="1" applyBorder="1" applyAlignment="1">
      <alignment horizontal="center"/>
    </xf>
    <xf numFmtId="0" fontId="43" fillId="21" borderId="4" xfId="0" applyFont="1" applyFill="1" applyBorder="1" applyAlignment="1">
      <alignment horizontal="center"/>
    </xf>
    <xf numFmtId="0" fontId="43" fillId="19" borderId="5" xfId="0" applyFont="1" applyFill="1" applyBorder="1"/>
    <xf numFmtId="0" fontId="43" fillId="19" borderId="6" xfId="0" applyFont="1" applyFill="1" applyBorder="1"/>
    <xf numFmtId="0" fontId="43" fillId="16" borderId="5" xfId="0" applyFont="1" applyFill="1" applyBorder="1"/>
    <xf numFmtId="0" fontId="43" fillId="20" borderId="0" xfId="0" applyFont="1" applyFill="1" applyBorder="1"/>
    <xf numFmtId="0" fontId="43" fillId="21" borderId="6" xfId="0" applyFont="1" applyFill="1" applyBorder="1"/>
    <xf numFmtId="0" fontId="43" fillId="19" borderId="0" xfId="0" applyFont="1" applyFill="1" applyBorder="1"/>
    <xf numFmtId="0" fontId="43" fillId="16" borderId="5" xfId="0" applyFont="1" applyFill="1" applyBorder="1" applyAlignment="1">
      <alignment horizontal="center"/>
    </xf>
    <xf numFmtId="0" fontId="43" fillId="20" borderId="0" xfId="0" applyFont="1" applyFill="1" applyBorder="1" applyAlignment="1">
      <alignment horizontal="center"/>
    </xf>
    <xf numFmtId="0" fontId="43" fillId="21" borderId="6" xfId="0" applyFont="1" applyFill="1" applyBorder="1" applyAlignment="1">
      <alignment horizontal="center"/>
    </xf>
    <xf numFmtId="0" fontId="0" fillId="16" borderId="5" xfId="0" applyFill="1" applyBorder="1" applyAlignment="1">
      <alignment horizontal="center"/>
    </xf>
    <xf numFmtId="0" fontId="0" fillId="16" borderId="0" xfId="0" applyFill="1" applyBorder="1" applyAlignment="1">
      <alignment horizontal="center"/>
    </xf>
    <xf numFmtId="0" fontId="0" fillId="20" borderId="5" xfId="0" applyFill="1" applyBorder="1" applyAlignment="1">
      <alignment horizontal="center"/>
    </xf>
    <xf numFmtId="0" fontId="0" fillId="20" borderId="0" xfId="0" applyFill="1" applyBorder="1" applyAlignment="1">
      <alignment horizontal="center"/>
    </xf>
    <xf numFmtId="0" fontId="0" fillId="20" borderId="6" xfId="0" applyFill="1" applyBorder="1" applyAlignment="1">
      <alignment horizontal="center"/>
    </xf>
    <xf numFmtId="0" fontId="0" fillId="21" borderId="5" xfId="0" applyFill="1" applyBorder="1" applyAlignment="1">
      <alignment horizontal="center"/>
    </xf>
    <xf numFmtId="0" fontId="0" fillId="21" borderId="0" xfId="0" applyFill="1" applyBorder="1" applyAlignment="1">
      <alignment horizontal="center"/>
    </xf>
    <xf numFmtId="0" fontId="0" fillId="21" borderId="6" xfId="0" applyFill="1" applyBorder="1" applyAlignment="1">
      <alignment horizontal="center"/>
    </xf>
    <xf numFmtId="0" fontId="43" fillId="19" borderId="7" xfId="0" applyFont="1" applyFill="1" applyBorder="1"/>
    <xf numFmtId="0" fontId="43" fillId="19" borderId="8" xfId="0" applyFont="1" applyFill="1" applyBorder="1"/>
    <xf numFmtId="0" fontId="43" fillId="16" borderId="7" xfId="0" applyFont="1" applyFill="1" applyBorder="1"/>
    <xf numFmtId="0" fontId="43" fillId="20" borderId="1" xfId="0" applyFont="1" applyFill="1" applyBorder="1"/>
    <xf numFmtId="0" fontId="43" fillId="21" borderId="8" xfId="0" applyFont="1" applyFill="1" applyBorder="1"/>
    <xf numFmtId="0" fontId="43" fillId="19" borderId="1" xfId="0" applyFont="1" applyFill="1" applyBorder="1"/>
    <xf numFmtId="0" fontId="0" fillId="0" borderId="7" xfId="0" applyBorder="1" applyAlignment="1">
      <alignment horizontal="center" textRotation="90"/>
    </xf>
    <xf numFmtId="0" fontId="0" fillId="0" borderId="1" xfId="0" quotePrefix="1" applyBorder="1" applyAlignment="1">
      <alignment horizontal="center" textRotation="90"/>
    </xf>
    <xf numFmtId="0" fontId="0" fillId="0" borderId="8" xfId="0" quotePrefix="1" applyBorder="1" applyAlignment="1">
      <alignment horizontal="center" textRotation="90"/>
    </xf>
    <xf numFmtId="0" fontId="0" fillId="19" borderId="5" xfId="0" applyFill="1" applyBorder="1"/>
    <xf numFmtId="0" fontId="0" fillId="19" borderId="6" xfId="0" applyFill="1" applyBorder="1"/>
    <xf numFmtId="167" fontId="0" fillId="16" borderId="5" xfId="0" applyNumberFormat="1" applyFill="1" applyBorder="1"/>
    <xf numFmtId="167" fontId="0" fillId="20" borderId="0" xfId="0" applyNumberFormat="1" applyFill="1" applyBorder="1"/>
    <xf numFmtId="167" fontId="0" fillId="21" borderId="6" xfId="0" applyNumberFormat="1" applyFill="1" applyBorder="1"/>
    <xf numFmtId="167" fontId="0" fillId="19" borderId="2" xfId="0" quotePrefix="1" applyNumberFormat="1" applyFill="1" applyBorder="1"/>
    <xf numFmtId="168" fontId="0" fillId="19" borderId="5" xfId="0" applyNumberFormat="1" applyFill="1" applyBorder="1"/>
    <xf numFmtId="168" fontId="0" fillId="19" borderId="0" xfId="0" applyNumberFormat="1" applyFill="1" applyBorder="1"/>
    <xf numFmtId="167" fontId="0" fillId="19" borderId="57" xfId="0" quotePrefix="1" applyNumberFormat="1" applyFill="1" applyBorder="1"/>
    <xf numFmtId="167" fontId="0" fillId="19" borderId="5" xfId="0" quotePrefix="1" applyNumberFormat="1" applyFill="1" applyBorder="1"/>
    <xf numFmtId="167" fontId="0" fillId="19" borderId="15" xfId="0" quotePrefix="1" applyNumberFormat="1" applyFill="1" applyBorder="1"/>
    <xf numFmtId="167" fontId="0" fillId="19" borderId="4" xfId="0" quotePrefix="1" applyNumberFormat="1" applyFill="1" applyBorder="1"/>
    <xf numFmtId="167" fontId="0" fillId="19" borderId="6" xfId="0" quotePrefix="1" applyNumberFormat="1" applyFill="1" applyBorder="1"/>
    <xf numFmtId="0" fontId="0" fillId="19" borderId="7" xfId="0" applyFill="1" applyBorder="1"/>
    <xf numFmtId="0" fontId="0" fillId="19" borderId="8" xfId="0" applyFill="1" applyBorder="1"/>
    <xf numFmtId="167" fontId="0" fillId="16" borderId="7" xfId="0" applyNumberFormat="1" applyFill="1" applyBorder="1"/>
    <xf numFmtId="167" fontId="0" fillId="20" borderId="1" xfId="0" applyNumberFormat="1" applyFill="1" applyBorder="1"/>
    <xf numFmtId="167" fontId="0" fillId="21" borderId="8" xfId="0" applyNumberFormat="1" applyFill="1" applyBorder="1"/>
    <xf numFmtId="167" fontId="0" fillId="19" borderId="7" xfId="0" quotePrefix="1" applyNumberFormat="1" applyFill="1" applyBorder="1"/>
    <xf numFmtId="168" fontId="0" fillId="19" borderId="7" xfId="0" applyNumberFormat="1" applyFill="1" applyBorder="1"/>
    <xf numFmtId="168" fontId="0" fillId="19" borderId="1" xfId="0" applyNumberFormat="1" applyFill="1" applyBorder="1"/>
    <xf numFmtId="167" fontId="0" fillId="19" borderId="16" xfId="0" quotePrefix="1" applyNumberFormat="1" applyFill="1" applyBorder="1"/>
    <xf numFmtId="167" fontId="0" fillId="19" borderId="8" xfId="0" quotePrefix="1" applyNumberFormat="1" applyFill="1" applyBorder="1"/>
    <xf numFmtId="167" fontId="0" fillId="0" borderId="0" xfId="0" applyNumberFormat="1"/>
    <xf numFmtId="0" fontId="11" fillId="12" borderId="58" xfId="0" applyFont="1" applyFill="1" applyBorder="1"/>
    <xf numFmtId="0" fontId="0" fillId="0" borderId="61" xfId="0" applyBorder="1" applyAlignment="1">
      <alignment horizontal="center"/>
    </xf>
    <xf numFmtId="0" fontId="0" fillId="0" borderId="0" xfId="0" applyBorder="1" applyAlignment="1">
      <alignment horizontal="center"/>
    </xf>
    <xf numFmtId="0" fontId="0" fillId="0" borderId="62" xfId="0" applyBorder="1" applyAlignment="1">
      <alignment horizontal="center"/>
    </xf>
    <xf numFmtId="2" fontId="0" fillId="22" borderId="0" xfId="0" applyNumberFormat="1" applyFill="1" applyBorder="1" applyAlignment="1">
      <alignment horizontal="center"/>
    </xf>
    <xf numFmtId="2" fontId="0" fillId="22" borderId="62" xfId="0" applyNumberFormat="1" applyFill="1" applyBorder="1" applyAlignment="1">
      <alignment horizontal="center"/>
    </xf>
    <xf numFmtId="0" fontId="0" fillId="0" borderId="61" xfId="0" applyFill="1" applyBorder="1" applyAlignment="1">
      <alignment horizontal="center"/>
    </xf>
    <xf numFmtId="2" fontId="0" fillId="0" borderId="62" xfId="0" applyNumberFormat="1" applyBorder="1" applyAlignment="1">
      <alignment horizontal="center"/>
    </xf>
    <xf numFmtId="0" fontId="15" fillId="9" borderId="61" xfId="0" applyFont="1" applyFill="1" applyBorder="1" applyAlignment="1">
      <alignment horizontal="center"/>
    </xf>
    <xf numFmtId="0" fontId="0" fillId="0" borderId="63" xfId="0" applyBorder="1" applyAlignment="1">
      <alignment horizontal="center"/>
    </xf>
    <xf numFmtId="10" fontId="0" fillId="0" borderId="64" xfId="0" applyNumberFormat="1" applyBorder="1"/>
    <xf numFmtId="2" fontId="0" fillId="0" borderId="65" xfId="0" applyNumberFormat="1" applyBorder="1" applyAlignment="1">
      <alignment horizontal="center"/>
    </xf>
    <xf numFmtId="165" fontId="0" fillId="0" borderId="0" xfId="0" applyNumberFormat="1"/>
    <xf numFmtId="165" fontId="0" fillId="0" borderId="62" xfId="0" applyNumberFormat="1" applyBorder="1" applyAlignment="1">
      <alignment horizontal="center"/>
    </xf>
    <xf numFmtId="165" fontId="0" fillId="0" borderId="0" xfId="0" applyNumberFormat="1" applyBorder="1" applyAlignment="1">
      <alignment horizontal="center"/>
    </xf>
    <xf numFmtId="165" fontId="0" fillId="0" borderId="0" xfId="0" applyNumberFormat="1" applyFill="1" applyBorder="1" applyAlignment="1">
      <alignment horizontal="center"/>
    </xf>
    <xf numFmtId="0" fontId="0" fillId="16" borderId="61" xfId="0" applyFill="1" applyBorder="1" applyAlignment="1">
      <alignment horizontal="center"/>
    </xf>
    <xf numFmtId="10" fontId="0" fillId="0" borderId="0" xfId="0" applyNumberFormat="1" applyFill="1" applyBorder="1"/>
    <xf numFmtId="10" fontId="0" fillId="0" borderId="0" xfId="1" applyNumberFormat="1" applyFont="1" applyBorder="1" applyAlignment="1">
      <alignment horizontal="center"/>
    </xf>
    <xf numFmtId="10" fontId="0" fillId="16" borderId="0" xfId="1" applyNumberFormat="1" applyFont="1" applyFill="1" applyBorder="1" applyAlignment="1">
      <alignment horizontal="center"/>
    </xf>
    <xf numFmtId="0" fontId="0" fillId="0" borderId="0" xfId="0" quotePrefix="1" applyProtection="1">
      <protection hidden="1"/>
    </xf>
    <xf numFmtId="3" fontId="8" fillId="0" borderId="0" xfId="0" applyNumberFormat="1" applyFont="1" applyBorder="1" applyAlignment="1" applyProtection="1">
      <alignment horizontal="right"/>
      <protection hidden="1"/>
    </xf>
    <xf numFmtId="0" fontId="9" fillId="0" borderId="6" xfId="0" quotePrefix="1" applyFont="1" applyBorder="1" applyAlignment="1" applyProtection="1">
      <alignment horizontal="left"/>
      <protection hidden="1"/>
    </xf>
    <xf numFmtId="9" fontId="0" fillId="0" borderId="0" xfId="0" applyNumberFormat="1"/>
    <xf numFmtId="0" fontId="0" fillId="0" borderId="2"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0" fillId="0" borderId="7" xfId="0" applyFont="1" applyBorder="1" applyAlignment="1" applyProtection="1">
      <alignment horizontal="center" textRotation="90"/>
      <protection hidden="1"/>
    </xf>
    <xf numFmtId="0" fontId="10" fillId="0" borderId="8" xfId="0" applyFont="1" applyBorder="1" applyAlignment="1" applyProtection="1">
      <alignment horizontal="center" textRotation="90"/>
      <protection hidden="1"/>
    </xf>
    <xf numFmtId="0" fontId="0" fillId="0" borderId="57" xfId="0" applyBorder="1" applyAlignment="1">
      <alignment horizontal="center"/>
    </xf>
    <xf numFmtId="0" fontId="0" fillId="0" borderId="15" xfId="0" applyBorder="1" applyAlignment="1">
      <alignment horizontal="center"/>
    </xf>
    <xf numFmtId="0" fontId="10" fillId="0" borderId="16" xfId="0" applyFont="1" applyBorder="1" applyAlignment="1" applyProtection="1">
      <alignment horizontal="center" textRotation="90"/>
      <protection hidden="1"/>
    </xf>
    <xf numFmtId="0" fontId="0" fillId="0" borderId="0" xfId="0" quotePrefix="1"/>
    <xf numFmtId="0" fontId="0" fillId="0" borderId="2" xfId="0" applyBorder="1"/>
    <xf numFmtId="167" fontId="0" fillId="0" borderId="3" xfId="0" applyNumberFormat="1" applyBorder="1"/>
    <xf numFmtId="167" fontId="0" fillId="17" borderId="3" xfId="0" applyNumberFormat="1" applyFill="1" applyBorder="1" applyAlignment="1">
      <alignment horizontal="right"/>
    </xf>
    <xf numFmtId="9" fontId="0" fillId="0" borderId="3" xfId="0" applyNumberFormat="1" applyBorder="1"/>
    <xf numFmtId="0" fontId="0" fillId="0" borderId="4" xfId="0" applyBorder="1"/>
    <xf numFmtId="0" fontId="0" fillId="0" borderId="5" xfId="0" applyBorder="1"/>
    <xf numFmtId="167" fontId="0" fillId="0" borderId="0" xfId="0" applyNumberFormat="1" applyBorder="1"/>
    <xf numFmtId="167" fontId="0" fillId="17" borderId="0" xfId="0" applyNumberFormat="1" applyFill="1" applyBorder="1" applyAlignment="1">
      <alignment horizontal="right"/>
    </xf>
    <xf numFmtId="9" fontId="0" fillId="0" borderId="0" xfId="0" applyNumberFormat="1" applyBorder="1"/>
    <xf numFmtId="0" fontId="0" fillId="0" borderId="6" xfId="0" applyBorder="1"/>
    <xf numFmtId="0" fontId="0" fillId="0" borderId="7" xfId="0" applyBorder="1"/>
    <xf numFmtId="167" fontId="0" fillId="0" borderId="1" xfId="0" applyNumberFormat="1" applyBorder="1"/>
    <xf numFmtId="167" fontId="0" fillId="17" borderId="1" xfId="0" applyNumberFormat="1" applyFill="1" applyBorder="1" applyAlignment="1">
      <alignment horizontal="right"/>
    </xf>
    <xf numFmtId="9" fontId="0" fillId="0" borderId="1" xfId="0" applyNumberFormat="1" applyBorder="1"/>
    <xf numFmtId="0" fontId="0" fillId="0" borderId="8" xfId="0" applyBorder="1"/>
    <xf numFmtId="0" fontId="15" fillId="0" borderId="0" xfId="0" applyFont="1" applyBorder="1" applyAlignment="1" applyProtection="1">
      <alignment horizontal="left"/>
      <protection hidden="1"/>
    </xf>
    <xf numFmtId="0" fontId="0" fillId="0" borderId="0" xfId="0" applyAlignment="1" applyProtection="1">
      <alignment horizontal="left"/>
      <protection hidden="1"/>
    </xf>
    <xf numFmtId="0" fontId="15" fillId="0" borderId="0" xfId="0" applyFont="1" applyBorder="1" applyAlignment="1" applyProtection="1">
      <alignment horizontal="right"/>
      <protection hidden="1"/>
    </xf>
    <xf numFmtId="1" fontId="10" fillId="0" borderId="5" xfId="0" applyNumberFormat="1" applyFont="1" applyBorder="1" applyProtection="1">
      <protection hidden="1"/>
    </xf>
    <xf numFmtId="0" fontId="0" fillId="0" borderId="0" xfId="0" applyFont="1" applyProtection="1">
      <protection hidden="1"/>
    </xf>
    <xf numFmtId="0" fontId="38" fillId="0" borderId="0" xfId="0" applyFont="1" applyBorder="1" applyAlignment="1" applyProtection="1">
      <alignment horizontal="left"/>
      <protection hidden="1"/>
    </xf>
    <xf numFmtId="0" fontId="8" fillId="0" borderId="0" xfId="0" applyFont="1" applyBorder="1" applyProtection="1">
      <protection hidden="1"/>
    </xf>
    <xf numFmtId="0" fontId="38" fillId="0" borderId="5" xfId="0" applyFont="1" applyBorder="1" applyAlignment="1" applyProtection="1">
      <alignment horizontal="left"/>
      <protection hidden="1"/>
    </xf>
    <xf numFmtId="0" fontId="38" fillId="0" borderId="0" xfId="0" quotePrefix="1" applyFont="1" applyBorder="1" applyAlignment="1" applyProtection="1">
      <alignment horizontal="left"/>
      <protection hidden="1"/>
    </xf>
    <xf numFmtId="0" fontId="44" fillId="0" borderId="0" xfId="0" applyFont="1" applyBorder="1" applyProtection="1">
      <protection hidden="1"/>
    </xf>
    <xf numFmtId="0" fontId="38" fillId="18" borderId="45" xfId="0" applyFont="1" applyFill="1" applyBorder="1" applyAlignment="1" applyProtection="1">
      <alignment horizontal="center"/>
      <protection locked="0"/>
    </xf>
    <xf numFmtId="9" fontId="38" fillId="18" borderId="30" xfId="1" applyFont="1" applyFill="1" applyBorder="1" applyProtection="1">
      <protection locked="0"/>
    </xf>
    <xf numFmtId="0" fontId="38" fillId="18" borderId="30" xfId="0" applyFont="1" applyFill="1" applyBorder="1" applyProtection="1">
      <protection locked="0"/>
    </xf>
    <xf numFmtId="3" fontId="38" fillId="18" borderId="30" xfId="0" applyNumberFormat="1" applyFont="1" applyFill="1" applyBorder="1" applyAlignment="1" applyProtection="1">
      <alignment horizontal="right"/>
      <protection locked="0"/>
    </xf>
    <xf numFmtId="167" fontId="38" fillId="18" borderId="30" xfId="0" applyNumberFormat="1" applyFont="1" applyFill="1" applyBorder="1" applyProtection="1">
      <protection locked="0"/>
    </xf>
    <xf numFmtId="167" fontId="38" fillId="18" borderId="45" xfId="0" applyNumberFormat="1" applyFont="1" applyFill="1" applyBorder="1" applyProtection="1">
      <protection locked="0"/>
    </xf>
    <xf numFmtId="0" fontId="16" fillId="0" borderId="5" xfId="0" applyFont="1" applyBorder="1" applyAlignment="1" applyProtection="1">
      <alignment horizontal="right"/>
      <protection hidden="1"/>
    </xf>
    <xf numFmtId="169" fontId="16" fillId="0" borderId="5" xfId="0" applyNumberFormat="1" applyFont="1" applyBorder="1" applyAlignment="1" applyProtection="1">
      <alignment horizontal="right"/>
      <protection hidden="1"/>
    </xf>
    <xf numFmtId="1" fontId="40" fillId="0" borderId="5" xfId="0" applyNumberFormat="1" applyFont="1" applyBorder="1" applyProtection="1">
      <protection hidden="1"/>
    </xf>
    <xf numFmtId="9" fontId="13" fillId="0" borderId="5" xfId="0" applyNumberFormat="1" applyFont="1" applyBorder="1" applyAlignment="1" applyProtection="1">
      <alignment horizontal="right"/>
      <protection hidden="1"/>
    </xf>
    <xf numFmtId="0" fontId="15" fillId="0" borderId="0" xfId="0" applyFont="1" applyBorder="1" applyAlignment="1" applyProtection="1">
      <alignment horizontal="right" vertical="center"/>
      <protection hidden="1"/>
    </xf>
    <xf numFmtId="0" fontId="38" fillId="0" borderId="5" xfId="0" applyFont="1" applyBorder="1" applyAlignment="1" applyProtection="1">
      <alignment horizontal="center"/>
      <protection hidden="1"/>
    </xf>
    <xf numFmtId="0" fontId="18" fillId="0" borderId="0" xfId="0" quotePrefix="1" applyFont="1" applyFill="1" applyAlignment="1" applyProtection="1">
      <protection hidden="1"/>
    </xf>
    <xf numFmtId="0" fontId="0" fillId="0" borderId="0" xfId="0" applyAlignment="1" applyProtection="1">
      <alignment horizontal="center"/>
      <protection hidden="1"/>
    </xf>
    <xf numFmtId="0" fontId="45" fillId="0" borderId="0" xfId="0" applyFont="1" applyAlignment="1" applyProtection="1">
      <alignment horizontal="center"/>
      <protection hidden="1"/>
    </xf>
    <xf numFmtId="0" fontId="30" fillId="0" borderId="0" xfId="0" applyFont="1" applyFill="1" applyAlignment="1" applyProtection="1">
      <protection hidden="1"/>
    </xf>
    <xf numFmtId="0" fontId="30" fillId="25" borderId="0" xfId="0" applyFont="1" applyFill="1" applyAlignment="1" applyProtection="1">
      <protection hidden="1"/>
    </xf>
    <xf numFmtId="0" fontId="28" fillId="24" borderId="0" xfId="0" applyFont="1" applyFill="1" applyProtection="1">
      <protection hidden="1"/>
    </xf>
    <xf numFmtId="0" fontId="29" fillId="24" borderId="0" xfId="0" applyFont="1" applyFill="1" applyProtection="1">
      <protection hidden="1"/>
    </xf>
    <xf numFmtId="0" fontId="28" fillId="24" borderId="0" xfId="0" quotePrefix="1" applyFont="1" applyFill="1" applyAlignment="1" applyProtection="1">
      <alignment horizontal="right"/>
      <protection hidden="1"/>
    </xf>
    <xf numFmtId="0" fontId="28" fillId="24" borderId="0" xfId="0" applyFont="1" applyFill="1" applyAlignment="1" applyProtection="1">
      <alignment horizontal="left"/>
      <protection hidden="1"/>
    </xf>
    <xf numFmtId="0" fontId="0" fillId="24" borderId="0" xfId="0" applyFill="1" applyProtection="1">
      <protection hidden="1"/>
    </xf>
    <xf numFmtId="0" fontId="0" fillId="24" borderId="0" xfId="0" applyFill="1" applyBorder="1" applyProtection="1">
      <protection hidden="1"/>
    </xf>
    <xf numFmtId="0" fontId="37" fillId="0" borderId="0" xfId="0" applyFont="1" applyProtection="1">
      <protection hidden="1"/>
    </xf>
    <xf numFmtId="3" fontId="37" fillId="0" borderId="0" xfId="0" applyNumberFormat="1" applyFont="1" applyProtection="1">
      <protection hidden="1"/>
    </xf>
    <xf numFmtId="9" fontId="37" fillId="0" borderId="0" xfId="1" applyFont="1" applyProtection="1">
      <protection hidden="1"/>
    </xf>
    <xf numFmtId="2" fontId="0" fillId="0" borderId="0" xfId="0" applyNumberFormat="1"/>
    <xf numFmtId="10" fontId="0" fillId="24" borderId="0" xfId="1" applyNumberFormat="1" applyFont="1" applyFill="1" applyBorder="1" applyAlignment="1">
      <alignment horizontal="center"/>
    </xf>
    <xf numFmtId="165" fontId="0" fillId="24" borderId="0" xfId="0" applyNumberFormat="1" applyFill="1" applyBorder="1" applyAlignment="1">
      <alignment horizontal="center"/>
    </xf>
    <xf numFmtId="165" fontId="0" fillId="26" borderId="0" xfId="0" applyNumberFormat="1" applyFill="1" applyBorder="1" applyAlignment="1">
      <alignment horizontal="center"/>
    </xf>
    <xf numFmtId="0" fontId="0" fillId="26" borderId="61" xfId="0" applyFill="1" applyBorder="1" applyAlignment="1">
      <alignment horizontal="center"/>
    </xf>
    <xf numFmtId="0" fontId="0" fillId="23" borderId="61" xfId="0" applyFill="1" applyBorder="1" applyAlignment="1">
      <alignment horizontal="center"/>
    </xf>
    <xf numFmtId="165" fontId="15" fillId="0" borderId="0" xfId="0" applyNumberFormat="1" applyFont="1" applyFill="1" applyBorder="1" applyAlignment="1">
      <alignment horizontal="center"/>
    </xf>
    <xf numFmtId="2" fontId="0" fillId="22" borderId="61" xfId="0" applyNumberFormat="1" applyFill="1" applyBorder="1" applyAlignment="1">
      <alignment horizontal="center"/>
    </xf>
    <xf numFmtId="10" fontId="0" fillId="0" borderId="61" xfId="0" applyNumberFormat="1" applyFill="1" applyBorder="1"/>
    <xf numFmtId="10" fontId="15" fillId="0" borderId="61" xfId="0" applyNumberFormat="1" applyFont="1" applyFill="1" applyBorder="1"/>
    <xf numFmtId="10" fontId="0" fillId="0" borderId="63" xfId="0" applyNumberFormat="1" applyBorder="1"/>
    <xf numFmtId="10" fontId="0" fillId="27" borderId="0" xfId="1" applyNumberFormat="1" applyFont="1" applyFill="1" applyBorder="1" applyAlignment="1">
      <alignment horizontal="center"/>
    </xf>
    <xf numFmtId="10" fontId="15" fillId="27" borderId="0" xfId="0" applyNumberFormat="1" applyFont="1" applyFill="1" applyBorder="1"/>
    <xf numFmtId="165" fontId="15" fillId="27" borderId="62" xfId="0" applyNumberFormat="1" applyFont="1" applyFill="1" applyBorder="1" applyAlignment="1">
      <alignment horizontal="center"/>
    </xf>
    <xf numFmtId="10" fontId="0" fillId="28" borderId="0" xfId="1" applyNumberFormat="1" applyFont="1" applyFill="1" applyBorder="1" applyAlignment="1">
      <alignment horizontal="center"/>
    </xf>
    <xf numFmtId="165" fontId="0" fillId="28" borderId="0" xfId="0" applyNumberFormat="1" applyFill="1" applyBorder="1" applyAlignment="1">
      <alignment horizontal="center"/>
    </xf>
    <xf numFmtId="10" fontId="0" fillId="28" borderId="0" xfId="0" applyNumberFormat="1" applyFill="1" applyBorder="1"/>
    <xf numFmtId="165" fontId="0" fillId="28" borderId="62" xfId="0" applyNumberFormat="1" applyFill="1" applyBorder="1" applyAlignment="1">
      <alignment horizontal="center"/>
    </xf>
    <xf numFmtId="10" fontId="43" fillId="28" borderId="61" xfId="0" applyNumberFormat="1" applyFont="1" applyFill="1" applyBorder="1"/>
    <xf numFmtId="165" fontId="43" fillId="28" borderId="0" xfId="0" applyNumberFormat="1" applyFont="1" applyFill="1" applyBorder="1" applyAlignment="1">
      <alignment horizontal="center"/>
    </xf>
    <xf numFmtId="0" fontId="0" fillId="0" borderId="0" xfId="0" applyFill="1" applyBorder="1" applyAlignment="1">
      <alignment horizontal="center"/>
    </xf>
    <xf numFmtId="165" fontId="0" fillId="24" borderId="64" xfId="0" applyNumberFormat="1" applyFill="1" applyBorder="1" applyAlignment="1">
      <alignment horizontal="center"/>
    </xf>
    <xf numFmtId="10" fontId="0" fillId="24" borderId="64" xfId="1" applyNumberFormat="1" applyFont="1" applyFill="1" applyBorder="1" applyAlignment="1">
      <alignment horizontal="center"/>
    </xf>
    <xf numFmtId="165" fontId="0" fillId="0" borderId="66" xfId="0" applyNumberFormat="1" applyFill="1" applyBorder="1" applyAlignment="1">
      <alignment horizontal="center"/>
    </xf>
    <xf numFmtId="165" fontId="0" fillId="0" borderId="67" xfId="0" applyNumberFormat="1" applyFill="1" applyBorder="1" applyAlignment="1">
      <alignment horizontal="center"/>
    </xf>
    <xf numFmtId="165" fontId="15" fillId="0" borderId="67" xfId="0" applyNumberFormat="1" applyFont="1" applyFill="1" applyBorder="1" applyAlignment="1">
      <alignment horizontal="center"/>
    </xf>
    <xf numFmtId="165" fontId="43" fillId="28" borderId="67" xfId="0" applyNumberFormat="1" applyFont="1" applyFill="1" applyBorder="1" applyAlignment="1">
      <alignment horizontal="center"/>
    </xf>
    <xf numFmtId="0" fontId="0" fillId="0" borderId="68" xfId="0" applyFill="1" applyBorder="1" applyAlignment="1">
      <alignment horizontal="center"/>
    </xf>
    <xf numFmtId="165" fontId="0" fillId="16" borderId="66" xfId="0" applyNumberFormat="1" applyFill="1" applyBorder="1" applyAlignment="1">
      <alignment horizontal="center"/>
    </xf>
    <xf numFmtId="165" fontId="0" fillId="0" borderId="67" xfId="0" applyNumberFormat="1" applyBorder="1" applyAlignment="1">
      <alignment horizontal="center"/>
    </xf>
    <xf numFmtId="165" fontId="0" fillId="0" borderId="68" xfId="0" applyNumberFormat="1" applyBorder="1" applyAlignment="1">
      <alignment horizontal="center"/>
    </xf>
    <xf numFmtId="165" fontId="15" fillId="27" borderId="67" xfId="0" applyNumberFormat="1" applyFont="1" applyFill="1" applyBorder="1" applyAlignment="1">
      <alignment horizontal="center"/>
    </xf>
    <xf numFmtId="0" fontId="0" fillId="0" borderId="0" xfId="0" applyFill="1"/>
    <xf numFmtId="170" fontId="0" fillId="0" borderId="0" xfId="0" applyNumberFormat="1" applyFill="1"/>
    <xf numFmtId="0" fontId="43" fillId="0" borderId="0" xfId="0" applyFont="1" applyFill="1"/>
    <xf numFmtId="165" fontId="0" fillId="0" borderId="0" xfId="0" applyNumberFormat="1" applyFill="1"/>
    <xf numFmtId="1" fontId="0" fillId="0" borderId="0" xfId="0" applyNumberFormat="1" applyFill="1"/>
    <xf numFmtId="165" fontId="0" fillId="0" borderId="0" xfId="0" applyNumberFormat="1" applyAlignment="1">
      <alignment vertical="center"/>
    </xf>
    <xf numFmtId="0" fontId="38" fillId="0" borderId="0" xfId="0" applyFont="1" applyBorder="1" applyAlignment="1" applyProtection="1">
      <alignment horizontal="center"/>
      <protection hidden="1"/>
    </xf>
    <xf numFmtId="0" fontId="11" fillId="0" borderId="5" xfId="0" applyFont="1" applyFill="1" applyBorder="1" applyAlignment="1" applyProtection="1">
      <alignment horizontal="right"/>
      <protection hidden="1"/>
    </xf>
    <xf numFmtId="0" fontId="38" fillId="0" borderId="9" xfId="0" applyFont="1" applyFill="1" applyBorder="1" applyProtection="1">
      <protection hidden="1"/>
    </xf>
    <xf numFmtId="0" fontId="38" fillId="0" borderId="10" xfId="0" applyFont="1" applyFill="1" applyBorder="1" applyProtection="1">
      <protection hidden="1"/>
    </xf>
    <xf numFmtId="0" fontId="38" fillId="0" borderId="11" xfId="0" applyFont="1" applyFill="1" applyBorder="1" applyProtection="1">
      <protection hidden="1"/>
    </xf>
    <xf numFmtId="0" fontId="38" fillId="0" borderId="5" xfId="0" applyFont="1" applyFill="1" applyBorder="1" applyProtection="1">
      <protection hidden="1"/>
    </xf>
    <xf numFmtId="0" fontId="38" fillId="0" borderId="0" xfId="0" applyFont="1" applyFill="1" applyBorder="1" applyProtection="1">
      <protection hidden="1"/>
    </xf>
    <xf numFmtId="0" fontId="38" fillId="0" borderId="6" xfId="0" applyFont="1" applyFill="1" applyBorder="1" applyProtection="1">
      <protection hidden="1"/>
    </xf>
    <xf numFmtId="9" fontId="10" fillId="0" borderId="5" xfId="0" applyNumberFormat="1" applyFont="1" applyFill="1" applyBorder="1" applyAlignment="1" applyProtection="1">
      <alignment horizontal="right"/>
      <protection hidden="1"/>
    </xf>
    <xf numFmtId="164" fontId="10" fillId="0" borderId="5" xfId="0" applyNumberFormat="1" applyFont="1" applyFill="1" applyBorder="1" applyAlignment="1" applyProtection="1">
      <alignment horizontal="right"/>
      <protection hidden="1"/>
    </xf>
    <xf numFmtId="0" fontId="38" fillId="0" borderId="7" xfId="0" applyFont="1" applyFill="1" applyBorder="1" applyAlignment="1" applyProtection="1">
      <alignment horizontal="right"/>
      <protection hidden="1"/>
    </xf>
    <xf numFmtId="0" fontId="38" fillId="0" borderId="1" xfId="0" applyFont="1" applyFill="1" applyBorder="1" applyProtection="1">
      <protection hidden="1"/>
    </xf>
    <xf numFmtId="0" fontId="38" fillId="0" borderId="8" xfId="0" applyFont="1" applyFill="1" applyBorder="1" applyProtection="1">
      <protection hidden="1"/>
    </xf>
    <xf numFmtId="0" fontId="38" fillId="0" borderId="9" xfId="0" applyFont="1" applyFill="1" applyBorder="1" applyAlignment="1" applyProtection="1">
      <alignment horizontal="right"/>
      <protection hidden="1"/>
    </xf>
    <xf numFmtId="0" fontId="38" fillId="0" borderId="5" xfId="0" applyFont="1" applyFill="1" applyBorder="1" applyAlignment="1" applyProtection="1">
      <alignment horizontal="right"/>
      <protection hidden="1"/>
    </xf>
    <xf numFmtId="0" fontId="8" fillId="0" borderId="0" xfId="0" applyNumberFormat="1" applyFont="1" applyFill="1" applyBorder="1" applyAlignment="1" applyProtection="1">
      <alignment horizontal="right"/>
      <protection hidden="1"/>
    </xf>
    <xf numFmtId="0" fontId="9" fillId="0" borderId="6" xfId="0" applyFont="1" applyFill="1" applyBorder="1" applyAlignment="1" applyProtection="1">
      <alignment horizontal="left"/>
      <protection hidden="1"/>
    </xf>
    <xf numFmtId="0" fontId="9" fillId="0" borderId="14" xfId="0" applyFont="1" applyFill="1" applyBorder="1" applyAlignment="1" applyProtection="1">
      <alignment horizontal="left"/>
      <protection hidden="1"/>
    </xf>
    <xf numFmtId="0" fontId="38" fillId="0" borderId="12" xfId="0" applyFont="1" applyFill="1" applyBorder="1" applyAlignment="1" applyProtection="1">
      <alignment horizontal="right"/>
      <protection hidden="1"/>
    </xf>
    <xf numFmtId="0" fontId="38" fillId="0" borderId="13" xfId="0" applyFont="1" applyFill="1" applyBorder="1" applyProtection="1">
      <protection hidden="1"/>
    </xf>
    <xf numFmtId="0" fontId="38" fillId="0" borderId="14" xfId="0" applyFont="1" applyFill="1" applyBorder="1" applyProtection="1">
      <protection hidden="1"/>
    </xf>
    <xf numFmtId="0" fontId="38" fillId="0" borderId="0" xfId="0" applyFont="1" applyFill="1" applyBorder="1" applyAlignment="1" applyProtection="1">
      <alignment horizontal="center"/>
      <protection hidden="1"/>
    </xf>
    <xf numFmtId="0" fontId="38" fillId="0" borderId="6" xfId="0" applyFont="1" applyFill="1" applyBorder="1" applyAlignment="1" applyProtection="1">
      <alignment horizontal="center"/>
      <protection hidden="1"/>
    </xf>
    <xf numFmtId="0" fontId="8" fillId="0" borderId="0" xfId="0" applyFont="1" applyFill="1" applyBorder="1" applyAlignment="1" applyProtection="1">
      <alignment horizontal="right"/>
      <protection hidden="1"/>
    </xf>
    <xf numFmtId="0" fontId="38" fillId="0" borderId="1" xfId="0" applyFont="1" applyFill="1" applyBorder="1" applyAlignment="1" applyProtection="1">
      <alignment horizontal="center"/>
      <protection hidden="1"/>
    </xf>
    <xf numFmtId="0" fontId="38" fillId="0" borderId="8" xfId="0" applyFont="1" applyFill="1" applyBorder="1" applyAlignment="1" applyProtection="1">
      <alignment horizontal="left"/>
      <protection hidden="1"/>
    </xf>
    <xf numFmtId="0" fontId="38" fillId="0" borderId="6" xfId="0" applyFont="1" applyFill="1" applyBorder="1" applyAlignment="1" applyProtection="1">
      <alignment horizontal="left"/>
      <protection hidden="1"/>
    </xf>
    <xf numFmtId="0" fontId="38" fillId="0" borderId="6" xfId="0" applyFont="1" applyFill="1" applyBorder="1" applyAlignment="1" applyProtection="1">
      <alignment horizontal="left" vertical="center"/>
      <protection hidden="1"/>
    </xf>
    <xf numFmtId="169" fontId="16" fillId="0" borderId="5" xfId="0" applyNumberFormat="1" applyFont="1" applyFill="1" applyBorder="1" applyAlignment="1" applyProtection="1">
      <alignment horizontal="right"/>
      <protection hidden="1"/>
    </xf>
    <xf numFmtId="3" fontId="15" fillId="0" borderId="0" xfId="0" applyNumberFormat="1" applyFont="1" applyFill="1" applyBorder="1" applyAlignment="1" applyProtection="1">
      <alignment horizontal="right"/>
      <protection hidden="1"/>
    </xf>
    <xf numFmtId="0" fontId="9" fillId="0" borderId="0" xfId="0" applyFont="1" applyFill="1" applyBorder="1" applyAlignment="1" applyProtection="1">
      <alignment horizontal="right"/>
      <protection hidden="1"/>
    </xf>
    <xf numFmtId="0" fontId="38" fillId="0" borderId="0" xfId="0" applyFont="1" applyBorder="1" applyAlignment="1" applyProtection="1">
      <alignment horizontal="center"/>
      <protection hidden="1"/>
    </xf>
    <xf numFmtId="1" fontId="8" fillId="0" borderId="13" xfId="0" applyNumberFormat="1" applyFont="1" applyBorder="1" applyAlignment="1" applyProtection="1">
      <alignment horizontal="right"/>
      <protection hidden="1"/>
    </xf>
    <xf numFmtId="1" fontId="46" fillId="0" borderId="0" xfId="0" applyNumberFormat="1" applyFont="1" applyBorder="1" applyAlignment="1" applyProtection="1">
      <alignment horizontal="right"/>
      <protection hidden="1"/>
    </xf>
    <xf numFmtId="0" fontId="0" fillId="16" borderId="5" xfId="0" applyFill="1" applyBorder="1" applyProtection="1">
      <protection hidden="1"/>
    </xf>
    <xf numFmtId="166" fontId="15" fillId="16" borderId="5" xfId="0" applyNumberFormat="1" applyFont="1" applyFill="1" applyBorder="1" applyAlignment="1" applyProtection="1">
      <alignment horizontal="right"/>
      <protection hidden="1"/>
    </xf>
    <xf numFmtId="0" fontId="9" fillId="16" borderId="6" xfId="0" applyFont="1" applyFill="1" applyBorder="1" applyAlignment="1" applyProtection="1">
      <alignment horizontal="left"/>
      <protection hidden="1"/>
    </xf>
    <xf numFmtId="9" fontId="15" fillId="16" borderId="5" xfId="0" applyNumberFormat="1" applyFont="1" applyFill="1" applyBorder="1" applyAlignment="1" applyProtection="1">
      <alignment horizontal="right"/>
      <protection hidden="1"/>
    </xf>
    <xf numFmtId="0" fontId="8" fillId="16" borderId="0" xfId="0" applyFont="1" applyFill="1" applyBorder="1" applyAlignment="1" applyProtection="1">
      <alignment horizontal="right"/>
      <protection hidden="1"/>
    </xf>
    <xf numFmtId="0" fontId="0" fillId="16" borderId="15" xfId="0" applyFill="1" applyBorder="1" applyProtection="1">
      <protection hidden="1"/>
    </xf>
    <xf numFmtId="0" fontId="15" fillId="16" borderId="5" xfId="0" applyFont="1" applyFill="1" applyBorder="1" applyAlignment="1" applyProtection="1">
      <alignment horizontal="right"/>
      <protection hidden="1"/>
    </xf>
    <xf numFmtId="0" fontId="9" fillId="16" borderId="0" xfId="0" applyFont="1" applyFill="1" applyBorder="1" applyAlignment="1" applyProtection="1">
      <alignment horizontal="right"/>
      <protection hidden="1"/>
    </xf>
    <xf numFmtId="1" fontId="8" fillId="16" borderId="0" xfId="0" applyNumberFormat="1" applyFont="1" applyFill="1" applyBorder="1" applyAlignment="1" applyProtection="1">
      <alignment horizontal="right"/>
      <protection hidden="1"/>
    </xf>
    <xf numFmtId="0" fontId="15" fillId="16" borderId="0" xfId="0" applyFont="1" applyFill="1" applyBorder="1" applyAlignment="1" applyProtection="1">
      <alignment horizontal="right" vertical="center"/>
      <protection hidden="1"/>
    </xf>
    <xf numFmtId="0" fontId="38" fillId="16" borderId="6" xfId="0" applyFont="1" applyFill="1" applyBorder="1" applyAlignment="1" applyProtection="1">
      <alignment horizontal="left" vertical="center"/>
      <protection hidden="1"/>
    </xf>
    <xf numFmtId="0" fontId="0" fillId="16" borderId="69" xfId="0" applyFill="1" applyBorder="1" applyProtection="1">
      <protection hidden="1"/>
    </xf>
    <xf numFmtId="3" fontId="15" fillId="16" borderId="69" xfId="0" applyNumberFormat="1" applyFont="1" applyFill="1" applyBorder="1" applyAlignment="1" applyProtection="1">
      <alignment horizontal="right"/>
      <protection hidden="1"/>
    </xf>
    <xf numFmtId="0" fontId="8" fillId="16" borderId="44" xfId="0" applyFont="1" applyFill="1" applyBorder="1" applyAlignment="1" applyProtection="1">
      <alignment horizontal="right"/>
      <protection hidden="1"/>
    </xf>
    <xf numFmtId="0" fontId="9" fillId="16" borderId="70" xfId="0" applyFont="1" applyFill="1" applyBorder="1" applyAlignment="1" applyProtection="1">
      <alignment horizontal="left"/>
      <protection hidden="1"/>
    </xf>
    <xf numFmtId="1" fontId="15" fillId="16" borderId="0" xfId="0" applyNumberFormat="1" applyFont="1" applyFill="1" applyBorder="1" applyAlignment="1" applyProtection="1">
      <alignment horizontal="right" vertical="center"/>
      <protection hidden="1"/>
    </xf>
    <xf numFmtId="1" fontId="0" fillId="0" borderId="0" xfId="0" applyNumberFormat="1" applyAlignment="1">
      <alignment horizontal="center"/>
    </xf>
    <xf numFmtId="0" fontId="0" fillId="16" borderId="0" xfId="0" applyFill="1"/>
    <xf numFmtId="0" fontId="0" fillId="16" borderId="0" xfId="0" applyFill="1" applyAlignment="1">
      <alignment horizontal="center" textRotation="90"/>
    </xf>
    <xf numFmtId="165" fontId="0" fillId="16" borderId="0" xfId="0" applyNumberFormat="1" applyFill="1" applyAlignment="1">
      <alignment horizontal="center"/>
    </xf>
    <xf numFmtId="1" fontId="0" fillId="16" borderId="0" xfId="0" applyNumberFormat="1" applyFill="1" applyAlignment="1">
      <alignment horizontal="center"/>
    </xf>
    <xf numFmtId="0" fontId="0" fillId="16" borderId="0" xfId="0" applyFill="1" applyAlignment="1">
      <alignment horizontal="center"/>
    </xf>
    <xf numFmtId="0" fontId="38" fillId="16" borderId="0" xfId="0" applyFont="1" applyFill="1" applyBorder="1" applyAlignment="1" applyProtection="1">
      <alignment horizontal="right"/>
      <protection hidden="1"/>
    </xf>
    <xf numFmtId="165" fontId="0" fillId="16" borderId="0" xfId="0" applyNumberFormat="1" applyFill="1"/>
    <xf numFmtId="165" fontId="47" fillId="0" borderId="5" xfId="0" applyNumberFormat="1" applyFont="1" applyFill="1" applyBorder="1" applyProtection="1">
      <protection hidden="1"/>
    </xf>
    <xf numFmtId="1" fontId="47" fillId="0" borderId="5" xfId="0" applyNumberFormat="1" applyFont="1" applyFill="1" applyBorder="1" applyAlignment="1" applyProtection="1">
      <alignment horizontal="right"/>
      <protection hidden="1"/>
    </xf>
    <xf numFmtId="1" fontId="47" fillId="0" borderId="5" xfId="0" applyNumberFormat="1" applyFont="1" applyFill="1" applyBorder="1" applyProtection="1">
      <protection hidden="1"/>
    </xf>
    <xf numFmtId="3" fontId="47" fillId="0" borderId="5" xfId="0" applyNumberFormat="1" applyFont="1" applyFill="1" applyBorder="1" applyProtection="1">
      <protection hidden="1"/>
    </xf>
    <xf numFmtId="1" fontId="47" fillId="0" borderId="52" xfId="0" applyNumberFormat="1" applyFont="1" applyFill="1" applyBorder="1" applyProtection="1">
      <protection hidden="1"/>
    </xf>
    <xf numFmtId="165" fontId="48" fillId="0" borderId="5" xfId="0" applyNumberFormat="1" applyFont="1" applyFill="1" applyBorder="1" applyProtection="1">
      <protection hidden="1"/>
    </xf>
    <xf numFmtId="0" fontId="0" fillId="32" borderId="0" xfId="0" applyFill="1" applyAlignment="1" applyProtection="1">
      <alignment horizontal="center"/>
      <protection hidden="1"/>
    </xf>
    <xf numFmtId="0" fontId="0" fillId="26" borderId="0" xfId="0" applyFill="1" applyAlignment="1" applyProtection="1">
      <alignment horizontal="center"/>
      <protection hidden="1"/>
    </xf>
    <xf numFmtId="0" fontId="0" fillId="21" borderId="0" xfId="0" applyFill="1" applyAlignment="1" applyProtection="1">
      <alignment horizontal="center"/>
      <protection hidden="1"/>
    </xf>
    <xf numFmtId="0" fontId="38" fillId="0" borderId="0" xfId="0" applyFont="1" applyAlignment="1" applyProtection="1">
      <alignment horizontal="center"/>
      <protection hidden="1"/>
    </xf>
    <xf numFmtId="0" fontId="21" fillId="0" borderId="0" xfId="0" applyFont="1" applyAlignment="1" applyProtection="1">
      <alignment horizontal="left"/>
      <protection hidden="1"/>
    </xf>
    <xf numFmtId="0" fontId="10" fillId="0" borderId="0" xfId="0" applyFont="1" applyFill="1" applyProtection="1">
      <protection hidden="1"/>
    </xf>
    <xf numFmtId="0" fontId="49" fillId="0" borderId="0" xfId="0" applyFont="1" applyProtection="1">
      <protection hidden="1"/>
    </xf>
    <xf numFmtId="0" fontId="49" fillId="0" borderId="0" xfId="0" applyFont="1" applyFill="1" applyProtection="1">
      <protection hidden="1"/>
    </xf>
    <xf numFmtId="0" fontId="30" fillId="0" borderId="0" xfId="0" applyFont="1" applyFill="1" applyAlignment="1" applyProtection="1">
      <alignment horizontal="right"/>
      <protection hidden="1"/>
    </xf>
    <xf numFmtId="0" fontId="50" fillId="0" borderId="0" xfId="0" quotePrefix="1" applyFont="1" applyAlignment="1" applyProtection="1">
      <alignment horizontal="right"/>
      <protection hidden="1"/>
    </xf>
    <xf numFmtId="0" fontId="50" fillId="0" borderId="0" xfId="0" applyFont="1" applyAlignment="1" applyProtection="1">
      <alignment horizontal="right"/>
      <protection hidden="1"/>
    </xf>
    <xf numFmtId="0" fontId="51" fillId="0" borderId="0" xfId="0" quotePrefix="1" applyFont="1" applyProtection="1">
      <protection hidden="1"/>
    </xf>
    <xf numFmtId="3" fontId="0" fillId="0" borderId="0" xfId="0" applyNumberFormat="1" applyAlignment="1">
      <alignment horizontal="center"/>
    </xf>
    <xf numFmtId="3" fontId="0" fillId="16" borderId="0" xfId="0" applyNumberFormat="1" applyFill="1" applyAlignment="1">
      <alignment horizontal="center"/>
    </xf>
    <xf numFmtId="0" fontId="38" fillId="0" borderId="0" xfId="0" applyFont="1" applyProtection="1">
      <protection hidden="1"/>
    </xf>
    <xf numFmtId="1" fontId="38" fillId="14" borderId="29" xfId="0" applyNumberFormat="1" applyFont="1" applyFill="1" applyBorder="1" applyAlignment="1" applyProtection="1">
      <alignment horizontal="center"/>
      <protection locked="0"/>
    </xf>
    <xf numFmtId="0" fontId="38" fillId="0" borderId="2" xfId="0" applyFont="1" applyBorder="1" applyAlignment="1" applyProtection="1">
      <alignment horizontal="center"/>
      <protection hidden="1"/>
    </xf>
    <xf numFmtId="0" fontId="38" fillId="0" borderId="7" xfId="0" applyFont="1" applyBorder="1" applyAlignment="1" applyProtection="1">
      <alignment horizontal="center"/>
      <protection hidden="1"/>
    </xf>
    <xf numFmtId="0" fontId="38" fillId="0" borderId="0" xfId="0" applyFont="1" applyBorder="1" applyAlignment="1" applyProtection="1">
      <alignment horizontal="center"/>
      <protection hidden="1"/>
    </xf>
    <xf numFmtId="0" fontId="0" fillId="0" borderId="0" xfId="0" applyBorder="1"/>
    <xf numFmtId="0" fontId="0" fillId="0" borderId="63" xfId="0" applyFill="1" applyBorder="1" applyAlignment="1">
      <alignment horizontal="center"/>
    </xf>
    <xf numFmtId="0" fontId="0" fillId="0" borderId="64" xfId="0" applyBorder="1"/>
    <xf numFmtId="0" fontId="0" fillId="0" borderId="66" xfId="0" applyBorder="1"/>
    <xf numFmtId="0" fontId="0" fillId="0" borderId="67" xfId="0" applyBorder="1"/>
    <xf numFmtId="0" fontId="0" fillId="0" borderId="68" xfId="0" applyBorder="1"/>
    <xf numFmtId="165" fontId="0" fillId="0" borderId="66" xfId="0" applyNumberFormat="1" applyBorder="1" applyAlignment="1">
      <alignment horizontal="center"/>
    </xf>
    <xf numFmtId="0" fontId="0" fillId="33" borderId="0" xfId="0" applyFill="1"/>
    <xf numFmtId="2" fontId="0" fillId="0" borderId="0" xfId="0" applyNumberFormat="1" applyAlignment="1">
      <alignment horizontal="center"/>
    </xf>
    <xf numFmtId="2" fontId="0" fillId="17" borderId="0" xfId="0" applyNumberFormat="1" applyFill="1" applyAlignment="1">
      <alignment horizontal="center"/>
    </xf>
    <xf numFmtId="0" fontId="0" fillId="17" borderId="64" xfId="0" applyFill="1" applyBorder="1"/>
    <xf numFmtId="2" fontId="0" fillId="17" borderId="0" xfId="0" applyNumberFormat="1" applyFill="1" applyBorder="1"/>
    <xf numFmtId="10" fontId="0" fillId="17" borderId="0" xfId="1" applyNumberFormat="1" applyFont="1" applyFill="1" applyBorder="1" applyAlignment="1">
      <alignment horizontal="center"/>
    </xf>
    <xf numFmtId="0" fontId="0" fillId="0" borderId="58" xfId="0" applyFill="1" applyBorder="1" applyAlignment="1">
      <alignment horizontal="center"/>
    </xf>
    <xf numFmtId="10" fontId="0" fillId="17" borderId="59" xfId="1" applyNumberFormat="1" applyFont="1" applyFill="1" applyBorder="1" applyAlignment="1">
      <alignment horizontal="center"/>
    </xf>
    <xf numFmtId="2" fontId="0" fillId="17" borderId="59" xfId="0" applyNumberFormat="1" applyFill="1" applyBorder="1"/>
    <xf numFmtId="0" fontId="0" fillId="0" borderId="59" xfId="0" applyBorder="1"/>
    <xf numFmtId="0" fontId="36" fillId="0" borderId="6" xfId="0" applyFont="1" applyBorder="1" applyAlignment="1" applyProtection="1">
      <alignment horizontal="left"/>
      <protection hidden="1"/>
    </xf>
    <xf numFmtId="0" fontId="39" fillId="0" borderId="5" xfId="0" applyFont="1" applyBorder="1" applyAlignment="1" applyProtection="1">
      <alignment horizontal="right"/>
      <protection hidden="1"/>
    </xf>
    <xf numFmtId="0" fontId="39" fillId="0" borderId="5" xfId="0" applyFont="1" applyFill="1" applyBorder="1" applyAlignment="1" applyProtection="1">
      <alignment horizontal="right"/>
      <protection hidden="1"/>
    </xf>
    <xf numFmtId="0" fontId="36" fillId="0" borderId="0" xfId="0" applyFont="1" applyFill="1" applyBorder="1" applyProtection="1">
      <protection hidden="1"/>
    </xf>
    <xf numFmtId="0" fontId="36" fillId="0" borderId="6" xfId="0" applyFont="1" applyFill="1" applyBorder="1" applyAlignment="1" applyProtection="1">
      <alignment horizontal="left"/>
      <protection hidden="1"/>
    </xf>
    <xf numFmtId="0" fontId="36" fillId="0" borderId="10" xfId="0" applyFont="1" applyBorder="1" applyProtection="1">
      <protection hidden="1"/>
    </xf>
    <xf numFmtId="0" fontId="36" fillId="0" borderId="11" xfId="0" applyFont="1" applyBorder="1" applyAlignment="1" applyProtection="1">
      <alignment horizontal="left"/>
      <protection hidden="1"/>
    </xf>
    <xf numFmtId="0" fontId="36" fillId="0" borderId="9" xfId="0" applyFont="1" applyBorder="1" applyAlignment="1" applyProtection="1">
      <alignment horizontal="right"/>
      <protection hidden="1"/>
    </xf>
    <xf numFmtId="0" fontId="36" fillId="0" borderId="9" xfId="0" applyFont="1" applyFill="1" applyBorder="1" applyAlignment="1" applyProtection="1">
      <alignment horizontal="right"/>
      <protection hidden="1"/>
    </xf>
    <xf numFmtId="0" fontId="36" fillId="0" borderId="10" xfId="0" applyFont="1" applyFill="1" applyBorder="1" applyProtection="1">
      <protection hidden="1"/>
    </xf>
    <xf numFmtId="0" fontId="36" fillId="0" borderId="11" xfId="0" applyFont="1" applyFill="1" applyBorder="1" applyAlignment="1" applyProtection="1">
      <alignment horizontal="left"/>
      <protection hidden="1"/>
    </xf>
    <xf numFmtId="0" fontId="13" fillId="0" borderId="9" xfId="0" applyFont="1" applyBorder="1" applyAlignment="1" applyProtection="1">
      <alignment horizontal="right"/>
      <protection hidden="1"/>
    </xf>
    <xf numFmtId="0" fontId="13" fillId="0" borderId="10" xfId="0" applyFont="1" applyBorder="1" applyProtection="1">
      <protection hidden="1"/>
    </xf>
    <xf numFmtId="0" fontId="36" fillId="0" borderId="5" xfId="0" applyFont="1" applyBorder="1" applyAlignment="1" applyProtection="1">
      <alignment horizontal="right"/>
      <protection hidden="1"/>
    </xf>
    <xf numFmtId="0" fontId="10" fillId="0" borderId="0" xfId="0" applyFont="1" applyAlignment="1" applyProtection="1">
      <alignment horizontal="left"/>
      <protection hidden="1"/>
    </xf>
    <xf numFmtId="0" fontId="10" fillId="0" borderId="0" xfId="0" applyFont="1" applyFill="1" applyBorder="1" applyAlignment="1" applyProtection="1">
      <alignment horizontal="left"/>
      <protection hidden="1"/>
    </xf>
    <xf numFmtId="0" fontId="9" fillId="0" borderId="0" xfId="0" applyFont="1" applyBorder="1" applyAlignment="1" applyProtection="1">
      <alignment horizontal="left"/>
      <protection hidden="1"/>
    </xf>
    <xf numFmtId="0" fontId="38" fillId="0" borderId="1" xfId="0" applyFont="1" applyBorder="1" applyAlignment="1" applyProtection="1">
      <alignment horizontal="left"/>
      <protection hidden="1"/>
    </xf>
    <xf numFmtId="0" fontId="38" fillId="13" borderId="0" xfId="0" applyFont="1" applyFill="1" applyBorder="1" applyAlignment="1" applyProtection="1">
      <alignment horizontal="left"/>
      <protection hidden="1"/>
    </xf>
    <xf numFmtId="0" fontId="36" fillId="0" borderId="0" xfId="0" applyFont="1" applyBorder="1" applyAlignment="1" applyProtection="1">
      <alignment horizontal="left"/>
      <protection hidden="1"/>
    </xf>
    <xf numFmtId="0" fontId="36" fillId="0" borderId="10" xfId="0" applyFont="1" applyBorder="1" applyAlignment="1" applyProtection="1">
      <alignment horizontal="left"/>
      <protection hidden="1"/>
    </xf>
    <xf numFmtId="0" fontId="38" fillId="13" borderId="3" xfId="0" applyFont="1" applyFill="1" applyBorder="1" applyAlignment="1" applyProtection="1">
      <alignment horizontal="left"/>
      <protection hidden="1"/>
    </xf>
    <xf numFmtId="0" fontId="18" fillId="0" borderId="0" xfId="0" quotePrefix="1" applyFont="1" applyFill="1" applyAlignment="1" applyProtection="1">
      <alignment horizontal="center"/>
      <protection hidden="1"/>
    </xf>
    <xf numFmtId="0" fontId="38" fillId="0" borderId="10" xfId="0" applyFont="1" applyBorder="1" applyAlignment="1" applyProtection="1">
      <alignment horizontal="left"/>
      <protection hidden="1"/>
    </xf>
    <xf numFmtId="0" fontId="0" fillId="0" borderId="0" xfId="0" quotePrefix="1" applyAlignment="1">
      <alignment horizontal="center"/>
    </xf>
    <xf numFmtId="165" fontId="0" fillId="0" borderId="0" xfId="0" quotePrefix="1" applyNumberFormat="1" applyAlignment="1">
      <alignment horizontal="center"/>
    </xf>
    <xf numFmtId="165" fontId="0" fillId="16" borderId="0" xfId="0" quotePrefix="1" applyNumberFormat="1" applyFill="1" applyAlignment="1">
      <alignment horizontal="center"/>
    </xf>
    <xf numFmtId="1" fontId="0" fillId="16" borderId="0" xfId="0" quotePrefix="1" applyNumberFormat="1" applyFill="1" applyAlignment="1">
      <alignment horizontal="center"/>
    </xf>
    <xf numFmtId="0" fontId="0" fillId="16" borderId="0" xfId="0" quotePrefix="1" applyFill="1" applyAlignment="1">
      <alignment horizontal="center"/>
    </xf>
    <xf numFmtId="3" fontId="0" fillId="0" borderId="0" xfId="0" quotePrefix="1" applyNumberFormat="1" applyAlignment="1">
      <alignment horizontal="center"/>
    </xf>
    <xf numFmtId="3" fontId="0" fillId="16" borderId="0" xfId="0" quotePrefix="1" applyNumberFormat="1" applyFill="1" applyAlignment="1">
      <alignment horizontal="center"/>
    </xf>
    <xf numFmtId="165" fontId="0" fillId="16" borderId="0" xfId="0" quotePrefix="1" applyNumberFormat="1" applyFill="1"/>
    <xf numFmtId="1" fontId="0" fillId="0" borderId="0" xfId="0" quotePrefix="1" applyNumberFormat="1" applyAlignment="1">
      <alignment horizontal="center"/>
    </xf>
    <xf numFmtId="0" fontId="0" fillId="0" borderId="0" xfId="0" applyAlignment="1">
      <alignment horizontal="left"/>
    </xf>
    <xf numFmtId="0" fontId="13" fillId="0" borderId="0" xfId="0" applyFont="1" applyBorder="1" applyAlignment="1" applyProtection="1">
      <alignment horizontal="right"/>
      <protection hidden="1"/>
    </xf>
    <xf numFmtId="165" fontId="53" fillId="0" borderId="0" xfId="0" applyNumberFormat="1" applyFont="1" applyBorder="1" applyAlignment="1" applyProtection="1">
      <alignment horizontal="right"/>
      <protection hidden="1"/>
    </xf>
    <xf numFmtId="165" fontId="53" fillId="16" borderId="0" xfId="0" applyNumberFormat="1" applyFont="1" applyFill="1" applyBorder="1" applyAlignment="1" applyProtection="1">
      <alignment horizontal="right"/>
      <protection hidden="1"/>
    </xf>
    <xf numFmtId="3" fontId="53" fillId="0" borderId="0" xfId="0" applyNumberFormat="1" applyFont="1" applyBorder="1" applyAlignment="1" applyProtection="1">
      <alignment horizontal="right"/>
      <protection hidden="1"/>
    </xf>
    <xf numFmtId="0" fontId="18" fillId="0" borderId="0" xfId="0" applyFont="1" applyBorder="1" applyAlignment="1" applyProtection="1">
      <alignment horizontal="right"/>
      <protection hidden="1"/>
    </xf>
    <xf numFmtId="0" fontId="53" fillId="0" borderId="0" xfId="0" applyFont="1" applyBorder="1" applyAlignment="1" applyProtection="1">
      <alignment horizontal="right"/>
      <protection hidden="1"/>
    </xf>
    <xf numFmtId="0" fontId="53" fillId="16" borderId="44" xfId="0" applyFont="1" applyFill="1" applyBorder="1" applyAlignment="1" applyProtection="1">
      <alignment horizontal="right"/>
      <protection hidden="1"/>
    </xf>
    <xf numFmtId="0" fontId="16" fillId="0" borderId="0" xfId="0" applyFont="1" applyBorder="1" applyAlignment="1" applyProtection="1">
      <alignment horizontal="right" vertical="center"/>
      <protection hidden="1"/>
    </xf>
    <xf numFmtId="1" fontId="16" fillId="16" borderId="0" xfId="0" applyNumberFormat="1" applyFont="1" applyFill="1" applyBorder="1" applyAlignment="1" applyProtection="1">
      <alignment horizontal="right" vertical="center"/>
      <protection hidden="1"/>
    </xf>
    <xf numFmtId="0" fontId="18" fillId="16" borderId="0" xfId="0" applyFont="1" applyFill="1" applyBorder="1" applyAlignment="1" applyProtection="1">
      <alignment horizontal="right"/>
      <protection hidden="1"/>
    </xf>
    <xf numFmtId="0" fontId="13" fillId="0" borderId="0" xfId="0" applyFont="1" applyFill="1" applyBorder="1" applyAlignment="1" applyProtection="1">
      <alignment horizontal="right"/>
      <protection hidden="1"/>
    </xf>
    <xf numFmtId="169" fontId="38" fillId="0" borderId="5" xfId="0" applyNumberFormat="1" applyFont="1" applyBorder="1" applyAlignment="1" applyProtection="1">
      <alignment horizontal="right"/>
      <protection hidden="1"/>
    </xf>
    <xf numFmtId="169" fontId="38" fillId="0" borderId="0" xfId="0" applyNumberFormat="1" applyFont="1" applyBorder="1" applyAlignment="1" applyProtection="1">
      <alignment horizontal="right"/>
      <protection hidden="1"/>
    </xf>
    <xf numFmtId="169" fontId="36" fillId="0" borderId="6" xfId="0" applyNumberFormat="1" applyFont="1" applyBorder="1" applyAlignment="1" applyProtection="1">
      <alignment horizontal="right"/>
      <protection hidden="1"/>
    </xf>
    <xf numFmtId="169" fontId="38" fillId="0" borderId="6" xfId="0" applyNumberFormat="1" applyFont="1" applyBorder="1" applyAlignment="1" applyProtection="1">
      <alignment horizontal="right"/>
      <protection hidden="1"/>
    </xf>
    <xf numFmtId="1" fontId="53" fillId="0" borderId="13" xfId="0" applyNumberFormat="1" applyFont="1" applyBorder="1" applyAlignment="1" applyProtection="1">
      <alignment horizontal="right"/>
      <protection hidden="1"/>
    </xf>
    <xf numFmtId="1" fontId="53" fillId="16" borderId="0" xfId="0" applyNumberFormat="1" applyFont="1" applyFill="1" applyBorder="1" applyAlignment="1" applyProtection="1">
      <alignment horizontal="right"/>
      <protection hidden="1"/>
    </xf>
    <xf numFmtId="0" fontId="53" fillId="16" borderId="0" xfId="0" applyFont="1" applyFill="1" applyBorder="1" applyAlignment="1" applyProtection="1">
      <alignment horizontal="right"/>
      <protection hidden="1"/>
    </xf>
    <xf numFmtId="165" fontId="53" fillId="0" borderId="0" xfId="0" applyNumberFormat="1" applyFont="1" applyFill="1" applyBorder="1" applyAlignment="1" applyProtection="1">
      <alignment horizontal="right"/>
      <protection hidden="1"/>
    </xf>
    <xf numFmtId="0" fontId="16" fillId="0" borderId="0" xfId="0" applyFont="1" applyFill="1" applyBorder="1" applyAlignment="1" applyProtection="1">
      <alignment horizontal="right" vertical="center"/>
      <protection hidden="1"/>
    </xf>
    <xf numFmtId="0" fontId="53" fillId="0" borderId="0" xfId="0" applyFont="1" applyFill="1" applyBorder="1" applyAlignment="1" applyProtection="1">
      <alignment horizontal="right"/>
      <protection hidden="1"/>
    </xf>
    <xf numFmtId="169" fontId="54" fillId="0" borderId="0" xfId="0" applyNumberFormat="1" applyFont="1" applyBorder="1" applyAlignment="1" applyProtection="1">
      <alignment horizontal="right"/>
      <protection hidden="1"/>
    </xf>
    <xf numFmtId="0" fontId="54" fillId="0" borderId="6" xfId="0" quotePrefix="1" applyFont="1" applyBorder="1" applyAlignment="1" applyProtection="1">
      <alignment horizontal="left"/>
      <protection hidden="1"/>
    </xf>
    <xf numFmtId="169" fontId="54" fillId="0" borderId="0" xfId="0" applyNumberFormat="1" applyFont="1" applyBorder="1" applyProtection="1">
      <protection hidden="1"/>
    </xf>
    <xf numFmtId="0" fontId="54" fillId="0" borderId="5" xfId="0" applyFont="1" applyBorder="1" applyAlignment="1" applyProtection="1">
      <alignment horizontal="right"/>
      <protection hidden="1"/>
    </xf>
    <xf numFmtId="0" fontId="54" fillId="0" borderId="5" xfId="0" applyFont="1" applyFill="1" applyBorder="1" applyAlignment="1" applyProtection="1">
      <alignment horizontal="right"/>
      <protection hidden="1"/>
    </xf>
    <xf numFmtId="169" fontId="54" fillId="0" borderId="0" xfId="0" applyNumberFormat="1" applyFont="1" applyFill="1" applyBorder="1" applyProtection="1">
      <protection hidden="1"/>
    </xf>
    <xf numFmtId="0" fontId="54" fillId="0" borderId="6" xfId="0" quotePrefix="1" applyFont="1" applyFill="1" applyBorder="1" applyAlignment="1" applyProtection="1">
      <alignment horizontal="left"/>
      <protection hidden="1"/>
    </xf>
    <xf numFmtId="0" fontId="0" fillId="0" borderId="3" xfId="0" applyBorder="1" applyProtection="1">
      <protection hidden="1"/>
    </xf>
    <xf numFmtId="0" fontId="0" fillId="0" borderId="4" xfId="0" applyBorder="1" applyProtection="1">
      <protection hidden="1"/>
    </xf>
    <xf numFmtId="0" fontId="38" fillId="0" borderId="1" xfId="0" quotePrefix="1" applyFont="1" applyBorder="1" applyProtection="1">
      <protection hidden="1"/>
    </xf>
    <xf numFmtId="0" fontId="10" fillId="0" borderId="3" xfId="0" applyFont="1" applyBorder="1" applyProtection="1">
      <protection hidden="1"/>
    </xf>
    <xf numFmtId="0" fontId="10" fillId="0" borderId="4" xfId="0" applyFont="1" applyBorder="1" applyProtection="1">
      <protection hidden="1"/>
    </xf>
    <xf numFmtId="0" fontId="13" fillId="0" borderId="1" xfId="0" applyFont="1" applyBorder="1" applyProtection="1">
      <protection hidden="1"/>
    </xf>
    <xf numFmtId="0" fontId="13" fillId="0" borderId="8" xfId="0" applyFont="1" applyBorder="1" applyProtection="1">
      <protection hidden="1"/>
    </xf>
    <xf numFmtId="0" fontId="18" fillId="0" borderId="0" xfId="0" quotePrefix="1" applyFont="1" applyProtection="1">
      <protection hidden="1"/>
    </xf>
    <xf numFmtId="0" fontId="36" fillId="0" borderId="0" xfId="0" applyFont="1" applyAlignment="1" applyProtection="1">
      <alignment horizontal="center"/>
      <protection hidden="1"/>
    </xf>
    <xf numFmtId="0" fontId="36" fillId="0" borderId="0" xfId="0" applyFont="1" applyFill="1" applyProtection="1">
      <protection hidden="1"/>
    </xf>
    <xf numFmtId="0" fontId="56" fillId="0" borderId="0" xfId="0" applyFont="1" applyBorder="1" applyAlignment="1" applyProtection="1">
      <alignment horizontal="right"/>
      <protection hidden="1"/>
    </xf>
    <xf numFmtId="0" fontId="56" fillId="0" borderId="0" xfId="0" applyFont="1" applyFill="1" applyBorder="1" applyAlignment="1" applyProtection="1">
      <alignment horizontal="right"/>
      <protection hidden="1"/>
    </xf>
    <xf numFmtId="3" fontId="13" fillId="0" borderId="0" xfId="0" applyNumberFormat="1" applyFont="1" applyBorder="1" applyAlignment="1" applyProtection="1">
      <alignment horizontal="right"/>
      <protection hidden="1"/>
    </xf>
    <xf numFmtId="2" fontId="0" fillId="17" borderId="64" xfId="0" applyNumberFormat="1" applyFill="1" applyBorder="1"/>
    <xf numFmtId="10" fontId="0" fillId="17" borderId="64" xfId="1" applyNumberFormat="1" applyFont="1" applyFill="1" applyBorder="1" applyAlignment="1">
      <alignment horizontal="center"/>
    </xf>
    <xf numFmtId="0" fontId="0" fillId="0" borderId="60" xfId="0" applyBorder="1"/>
    <xf numFmtId="0" fontId="0" fillId="0" borderId="62" xfId="0" applyBorder="1"/>
    <xf numFmtId="0" fontId="0" fillId="0" borderId="65" xfId="0" applyBorder="1"/>
    <xf numFmtId="9" fontId="37" fillId="0" borderId="0" xfId="1" applyFont="1" applyFill="1" applyBorder="1" applyProtection="1">
      <protection hidden="1"/>
    </xf>
    <xf numFmtId="0" fontId="59" fillId="0" borderId="0" xfId="0" applyFont="1" applyFill="1" applyBorder="1" applyProtection="1">
      <protection hidden="1"/>
    </xf>
    <xf numFmtId="3" fontId="40" fillId="0" borderId="0" xfId="0" applyNumberFormat="1" applyFont="1" applyFill="1" applyBorder="1" applyAlignment="1" applyProtection="1">
      <alignment horizontal="right"/>
      <protection hidden="1"/>
    </xf>
    <xf numFmtId="165" fontId="37" fillId="0" borderId="0" xfId="0" applyNumberFormat="1" applyFont="1" applyFill="1" applyBorder="1" applyProtection="1">
      <protection hidden="1"/>
    </xf>
    <xf numFmtId="0" fontId="58" fillId="0" borderId="0" xfId="0" applyFont="1" applyFill="1" applyBorder="1" applyProtection="1">
      <protection hidden="1"/>
    </xf>
    <xf numFmtId="0" fontId="57" fillId="0" borderId="0" xfId="0" applyFont="1" applyFill="1" applyBorder="1" applyProtection="1">
      <protection hidden="1"/>
    </xf>
    <xf numFmtId="1" fontId="40" fillId="0" borderId="0" xfId="0" quotePrefix="1" applyNumberFormat="1" applyFont="1" applyFill="1" applyBorder="1" applyProtection="1">
      <protection hidden="1"/>
    </xf>
    <xf numFmtId="165" fontId="40" fillId="0" borderId="0" xfId="0" applyNumberFormat="1" applyFont="1" applyFill="1" applyBorder="1" applyProtection="1">
      <protection hidden="1"/>
    </xf>
    <xf numFmtId="0" fontId="40" fillId="0" borderId="0" xfId="0" quotePrefix="1" applyFont="1" applyFill="1" applyBorder="1" applyProtection="1">
      <protection hidden="1"/>
    </xf>
    <xf numFmtId="1" fontId="37" fillId="0" borderId="0" xfId="0" applyNumberFormat="1" applyFont="1" applyFill="1" applyBorder="1" applyProtection="1">
      <protection hidden="1"/>
    </xf>
    <xf numFmtId="1" fontId="40" fillId="0" borderId="0" xfId="0" applyNumberFormat="1" applyFont="1" applyFill="1" applyBorder="1" applyProtection="1">
      <protection hidden="1"/>
    </xf>
    <xf numFmtId="2" fontId="40" fillId="0" borderId="0" xfId="0" applyNumberFormat="1" applyFont="1" applyFill="1" applyBorder="1" applyProtection="1">
      <protection hidden="1"/>
    </xf>
    <xf numFmtId="2" fontId="44" fillId="0" borderId="0" xfId="0" applyNumberFormat="1" applyFont="1" applyFill="1" applyBorder="1" applyProtection="1">
      <protection hidden="1"/>
    </xf>
    <xf numFmtId="0" fontId="44" fillId="0" borderId="0" xfId="0" applyFont="1" applyFill="1" applyBorder="1" applyProtection="1">
      <protection hidden="1"/>
    </xf>
    <xf numFmtId="0" fontId="60" fillId="0" borderId="0" xfId="0" applyFont="1" applyFill="1" applyBorder="1" applyProtection="1">
      <protection hidden="1"/>
    </xf>
    <xf numFmtId="0" fontId="61" fillId="0" borderId="0" xfId="0" applyFont="1" applyFill="1" applyBorder="1" applyAlignment="1" applyProtection="1">
      <alignment horizontal="center"/>
      <protection hidden="1"/>
    </xf>
    <xf numFmtId="9" fontId="62" fillId="0" borderId="0" xfId="1" applyFont="1" applyFill="1" applyBorder="1" applyProtection="1">
      <protection hidden="1"/>
    </xf>
    <xf numFmtId="3" fontId="63" fillId="0" borderId="0" xfId="0" applyNumberFormat="1" applyFont="1" applyBorder="1" applyAlignment="1" applyProtection="1">
      <alignment horizontal="right"/>
      <protection hidden="1"/>
    </xf>
    <xf numFmtId="3" fontId="63" fillId="16" borderId="0" xfId="0" applyNumberFormat="1" applyFont="1" applyFill="1" applyBorder="1" applyAlignment="1" applyProtection="1">
      <alignment horizontal="right"/>
      <protection hidden="1"/>
    </xf>
    <xf numFmtId="167" fontId="0" fillId="0" borderId="0" xfId="0" applyNumberFormat="1" applyProtection="1">
      <protection hidden="1"/>
    </xf>
    <xf numFmtId="167" fontId="0" fillId="0" borderId="0" xfId="0" applyNumberFormat="1" applyAlignment="1" applyProtection="1">
      <alignment horizontal="right"/>
      <protection hidden="1"/>
    </xf>
    <xf numFmtId="166" fontId="0" fillId="23" borderId="0" xfId="1" applyNumberFormat="1" applyFont="1" applyFill="1" applyBorder="1" applyProtection="1">
      <protection hidden="1"/>
    </xf>
    <xf numFmtId="166" fontId="0" fillId="0" borderId="0" xfId="0" applyNumberFormat="1" applyProtection="1">
      <protection hidden="1"/>
    </xf>
    <xf numFmtId="3" fontId="0" fillId="0" borderId="0" xfId="0" applyNumberFormat="1" applyProtection="1">
      <protection hidden="1"/>
    </xf>
    <xf numFmtId="166" fontId="0" fillId="0" borderId="0" xfId="1" applyNumberFormat="1" applyFont="1" applyBorder="1" applyProtection="1">
      <protection hidden="1"/>
    </xf>
    <xf numFmtId="10" fontId="42" fillId="0" borderId="0" xfId="0" applyNumberFormat="1" applyFont="1" applyProtection="1">
      <protection hidden="1"/>
    </xf>
    <xf numFmtId="10" fontId="0" fillId="0" borderId="0" xfId="1" applyNumberFormat="1" applyFont="1" applyBorder="1" applyProtection="1">
      <protection hidden="1"/>
    </xf>
    <xf numFmtId="168" fontId="0" fillId="0" borderId="0" xfId="0" applyNumberFormat="1" applyProtection="1">
      <protection hidden="1"/>
    </xf>
    <xf numFmtId="2" fontId="53" fillId="0" borderId="0" xfId="0" applyNumberFormat="1" applyFont="1" applyAlignment="1" applyProtection="1">
      <alignment horizontal="right"/>
      <protection hidden="1"/>
    </xf>
    <xf numFmtId="2" fontId="53" fillId="16" borderId="0" xfId="0" applyNumberFormat="1" applyFont="1" applyFill="1" applyAlignment="1" applyProtection="1">
      <alignment horizontal="right"/>
      <protection hidden="1"/>
    </xf>
    <xf numFmtId="0" fontId="35" fillId="17" borderId="17" xfId="0" applyFont="1" applyFill="1" applyBorder="1" applyAlignment="1" applyProtection="1">
      <alignment horizontal="center"/>
      <protection hidden="1"/>
    </xf>
    <xf numFmtId="0" fontId="35" fillId="17" borderId="18" xfId="0" applyFont="1" applyFill="1" applyBorder="1" applyAlignment="1" applyProtection="1">
      <alignment horizontal="center"/>
      <protection hidden="1"/>
    </xf>
    <xf numFmtId="0" fontId="35" fillId="17" borderId="19" xfId="0" applyFont="1" applyFill="1" applyBorder="1" applyAlignment="1" applyProtection="1">
      <alignment horizontal="center"/>
      <protection hidden="1"/>
    </xf>
    <xf numFmtId="0" fontId="8" fillId="16" borderId="2" xfId="0" applyFont="1" applyFill="1" applyBorder="1" applyAlignment="1" applyProtection="1">
      <alignment horizontal="center"/>
      <protection hidden="1"/>
    </xf>
    <xf numFmtId="0" fontId="8" fillId="16" borderId="3" xfId="0" applyFont="1" applyFill="1" applyBorder="1" applyAlignment="1" applyProtection="1">
      <alignment horizontal="center"/>
      <protection hidden="1"/>
    </xf>
    <xf numFmtId="0" fontId="8" fillId="16" borderId="4" xfId="0" applyFont="1" applyFill="1" applyBorder="1" applyAlignment="1" applyProtection="1">
      <alignment horizontal="center"/>
      <protection hidden="1"/>
    </xf>
    <xf numFmtId="0" fontId="8" fillId="16" borderId="5" xfId="0" applyFont="1" applyFill="1" applyBorder="1" applyAlignment="1" applyProtection="1">
      <alignment horizontal="center"/>
      <protection hidden="1"/>
    </xf>
    <xf numFmtId="0" fontId="8" fillId="16" borderId="0" xfId="0" applyFont="1" applyFill="1" applyBorder="1" applyAlignment="1" applyProtection="1">
      <alignment horizontal="center"/>
      <protection hidden="1"/>
    </xf>
    <xf numFmtId="0" fontId="8" fillId="16" borderId="6" xfId="0" applyFont="1" applyFill="1" applyBorder="1" applyAlignment="1" applyProtection="1">
      <alignment horizontal="center"/>
      <protection hidden="1"/>
    </xf>
    <xf numFmtId="0" fontId="9" fillId="16" borderId="7" xfId="0" applyFont="1" applyFill="1" applyBorder="1" applyAlignment="1" applyProtection="1">
      <alignment horizontal="center"/>
      <protection hidden="1"/>
    </xf>
    <xf numFmtId="0" fontId="9" fillId="16" borderId="1" xfId="0" applyFont="1" applyFill="1" applyBorder="1" applyAlignment="1" applyProtection="1">
      <alignment horizontal="center"/>
      <protection hidden="1"/>
    </xf>
    <xf numFmtId="0" fontId="9" fillId="16" borderId="8" xfId="0" applyFont="1" applyFill="1" applyBorder="1" applyAlignment="1" applyProtection="1">
      <alignment horizontal="center"/>
      <protection hidden="1"/>
    </xf>
    <xf numFmtId="10" fontId="42" fillId="0" borderId="0" xfId="0" applyNumberFormat="1" applyFont="1" applyAlignment="1" applyProtection="1">
      <alignment horizontal="center"/>
      <protection hidden="1"/>
    </xf>
    <xf numFmtId="0" fontId="11" fillId="0" borderId="12" xfId="0" applyFont="1" applyBorder="1" applyAlignment="1" applyProtection="1">
      <alignment horizontal="center"/>
      <protection hidden="1"/>
    </xf>
    <xf numFmtId="0" fontId="11" fillId="0" borderId="13" xfId="0" applyFont="1" applyBorder="1" applyAlignment="1" applyProtection="1">
      <alignment horizontal="center"/>
      <protection hidden="1"/>
    </xf>
    <xf numFmtId="0" fontId="11" fillId="0" borderId="14" xfId="0" applyFont="1" applyBorder="1" applyAlignment="1" applyProtection="1">
      <alignment horizontal="center"/>
      <protection hidden="1"/>
    </xf>
    <xf numFmtId="0" fontId="38" fillId="0" borderId="12" xfId="0" applyFont="1" applyBorder="1" applyAlignment="1" applyProtection="1">
      <alignment horizontal="center"/>
      <protection hidden="1"/>
    </xf>
    <xf numFmtId="0" fontId="38" fillId="0" borderId="13" xfId="0" applyFont="1" applyBorder="1" applyAlignment="1" applyProtection="1">
      <alignment horizontal="center"/>
      <protection hidden="1"/>
    </xf>
    <xf numFmtId="0" fontId="38" fillId="0" borderId="14" xfId="0" applyFont="1" applyBorder="1" applyAlignment="1" applyProtection="1">
      <alignment horizontal="center"/>
      <protection hidden="1"/>
    </xf>
    <xf numFmtId="0" fontId="11" fillId="0" borderId="12" xfId="0" applyFont="1" applyFill="1" applyBorder="1" applyAlignment="1" applyProtection="1">
      <alignment horizontal="center"/>
      <protection hidden="1"/>
    </xf>
    <xf numFmtId="0" fontId="11" fillId="0" borderId="13" xfId="0" applyFont="1" applyFill="1" applyBorder="1" applyAlignment="1" applyProtection="1">
      <alignment horizontal="center"/>
      <protection hidden="1"/>
    </xf>
    <xf numFmtId="0" fontId="11" fillId="0" borderId="14" xfId="0" applyFont="1" applyFill="1" applyBorder="1" applyAlignment="1" applyProtection="1">
      <alignment horizontal="center"/>
      <protection hidden="1"/>
    </xf>
    <xf numFmtId="0" fontId="55" fillId="13" borderId="2" xfId="0" applyFont="1" applyFill="1" applyBorder="1" applyAlignment="1" applyProtection="1">
      <alignment horizontal="center"/>
      <protection hidden="1"/>
    </xf>
    <xf numFmtId="0" fontId="55" fillId="13" borderId="3" xfId="0" applyFont="1" applyFill="1" applyBorder="1" applyAlignment="1" applyProtection="1">
      <alignment horizontal="center"/>
      <protection hidden="1"/>
    </xf>
    <xf numFmtId="0" fontId="55" fillId="13" borderId="4" xfId="0" applyFont="1" applyFill="1" applyBorder="1" applyAlignment="1" applyProtection="1">
      <alignment horizontal="center"/>
      <protection hidden="1"/>
    </xf>
    <xf numFmtId="0" fontId="43" fillId="13" borderId="2" xfId="0" applyFont="1" applyFill="1" applyBorder="1" applyAlignment="1" applyProtection="1">
      <alignment horizontal="center"/>
      <protection hidden="1"/>
    </xf>
    <xf numFmtId="0" fontId="43" fillId="13" borderId="3" xfId="0" applyFont="1" applyFill="1" applyBorder="1" applyAlignment="1" applyProtection="1">
      <alignment horizontal="center"/>
      <protection hidden="1"/>
    </xf>
    <xf numFmtId="0" fontId="43" fillId="13" borderId="4" xfId="0" applyFont="1" applyFill="1" applyBorder="1" applyAlignment="1" applyProtection="1">
      <alignment horizontal="center"/>
      <protection hidden="1"/>
    </xf>
    <xf numFmtId="0" fontId="0" fillId="13" borderId="2" xfId="0" applyFill="1" applyBorder="1" applyAlignment="1" applyProtection="1">
      <alignment horizontal="center"/>
      <protection hidden="1"/>
    </xf>
    <xf numFmtId="0" fontId="0" fillId="13" borderId="3" xfId="0" applyFill="1" applyBorder="1" applyAlignment="1" applyProtection="1">
      <alignment horizontal="center"/>
      <protection hidden="1"/>
    </xf>
    <xf numFmtId="0" fontId="0" fillId="13" borderId="4" xfId="0" applyFill="1" applyBorder="1" applyAlignment="1" applyProtection="1">
      <alignment horizontal="center"/>
      <protection hidden="1"/>
    </xf>
    <xf numFmtId="0" fontId="15" fillId="13" borderId="2" xfId="0" applyFont="1" applyFill="1" applyBorder="1" applyAlignment="1" applyProtection="1">
      <alignment horizontal="center"/>
      <protection hidden="1"/>
    </xf>
    <xf numFmtId="0" fontId="15" fillId="13" borderId="3" xfId="0" applyFont="1" applyFill="1" applyBorder="1" applyAlignment="1" applyProtection="1">
      <alignment horizontal="center"/>
      <protection hidden="1"/>
    </xf>
    <xf numFmtId="0" fontId="15" fillId="13" borderId="4" xfId="0" applyFont="1" applyFill="1" applyBorder="1" applyAlignment="1" applyProtection="1">
      <alignment horizontal="center"/>
      <protection hidden="1"/>
    </xf>
    <xf numFmtId="0" fontId="9" fillId="12" borderId="7" xfId="0" applyFont="1" applyFill="1" applyBorder="1" applyAlignment="1" applyProtection="1">
      <alignment horizontal="center"/>
      <protection hidden="1"/>
    </xf>
    <xf numFmtId="0" fontId="9" fillId="12" borderId="1" xfId="0" applyFont="1" applyFill="1" applyBorder="1" applyAlignment="1" applyProtection="1">
      <alignment horizontal="center"/>
      <protection hidden="1"/>
    </xf>
    <xf numFmtId="0" fontId="9" fillId="12" borderId="8" xfId="0" applyFont="1" applyFill="1" applyBorder="1" applyAlignment="1" applyProtection="1">
      <alignment horizontal="center"/>
      <protection hidden="1"/>
    </xf>
    <xf numFmtId="0" fontId="9" fillId="31" borderId="7" xfId="0" applyFont="1" applyFill="1" applyBorder="1" applyAlignment="1" applyProtection="1">
      <alignment horizontal="center"/>
      <protection hidden="1"/>
    </xf>
    <xf numFmtId="0" fontId="9" fillId="31" borderId="1" xfId="0" applyFont="1" applyFill="1" applyBorder="1" applyAlignment="1" applyProtection="1">
      <alignment horizontal="center"/>
      <protection hidden="1"/>
    </xf>
    <xf numFmtId="0" fontId="9" fillId="31" borderId="8" xfId="0" applyFont="1" applyFill="1" applyBorder="1" applyAlignment="1" applyProtection="1">
      <alignment horizontal="center"/>
      <protection hidden="1"/>
    </xf>
    <xf numFmtId="0" fontId="10" fillId="12" borderId="7" xfId="0" applyFont="1" applyFill="1" applyBorder="1" applyAlignment="1" applyProtection="1">
      <alignment horizontal="center"/>
      <protection hidden="1"/>
    </xf>
    <xf numFmtId="0" fontId="10" fillId="12" borderId="1" xfId="0" applyFont="1" applyFill="1" applyBorder="1" applyAlignment="1" applyProtection="1">
      <alignment horizontal="center"/>
      <protection hidden="1"/>
    </xf>
    <xf numFmtId="0" fontId="10" fillId="12" borderId="8" xfId="0" applyFont="1" applyFill="1" applyBorder="1" applyAlignment="1" applyProtection="1">
      <alignment horizontal="center"/>
      <protection hidden="1"/>
    </xf>
    <xf numFmtId="49" fontId="7" fillId="11" borderId="1" xfId="0" applyNumberFormat="1" applyFont="1" applyFill="1" applyBorder="1" applyAlignment="1" applyProtection="1">
      <alignment horizontal="center"/>
      <protection hidden="1"/>
    </xf>
    <xf numFmtId="0" fontId="8" fillId="12" borderId="5" xfId="0" applyFont="1" applyFill="1" applyBorder="1" applyAlignment="1" applyProtection="1">
      <alignment horizontal="center"/>
      <protection hidden="1"/>
    </xf>
    <xf numFmtId="0" fontId="8" fillId="12" borderId="0" xfId="0" applyFont="1" applyFill="1" applyBorder="1" applyAlignment="1" applyProtection="1">
      <alignment horizontal="center"/>
      <protection hidden="1"/>
    </xf>
    <xf numFmtId="0" fontId="8" fillId="12" borderId="6" xfId="0" applyFont="1" applyFill="1" applyBorder="1" applyAlignment="1" applyProtection="1">
      <alignment horizontal="center"/>
      <protection hidden="1"/>
    </xf>
    <xf numFmtId="0" fontId="8" fillId="12" borderId="2" xfId="0" applyFont="1" applyFill="1" applyBorder="1" applyAlignment="1" applyProtection="1">
      <alignment horizontal="center"/>
      <protection hidden="1"/>
    </xf>
    <xf numFmtId="0" fontId="8" fillId="12" borderId="3" xfId="0" applyFont="1" applyFill="1" applyBorder="1" applyAlignment="1" applyProtection="1">
      <alignment horizontal="center"/>
      <protection hidden="1"/>
    </xf>
    <xf numFmtId="0" fontId="8" fillId="12" borderId="4" xfId="0" applyFont="1" applyFill="1" applyBorder="1" applyAlignment="1" applyProtection="1">
      <alignment horizontal="center"/>
      <protection hidden="1"/>
    </xf>
    <xf numFmtId="0" fontId="18" fillId="0" borderId="0" xfId="0" quotePrefix="1" applyFont="1" applyFill="1" applyAlignment="1" applyProtection="1">
      <alignment horizontal="center"/>
      <protection hidden="1"/>
    </xf>
    <xf numFmtId="49" fontId="7" fillId="29" borderId="1" xfId="0" applyNumberFormat="1" applyFont="1" applyFill="1" applyBorder="1" applyAlignment="1" applyProtection="1">
      <alignment horizontal="center"/>
      <protection hidden="1"/>
    </xf>
    <xf numFmtId="49" fontId="7" fillId="30" borderId="1" xfId="0" applyNumberFormat="1" applyFont="1" applyFill="1" applyBorder="1" applyAlignment="1" applyProtection="1">
      <alignment horizontal="center"/>
      <protection hidden="1"/>
    </xf>
    <xf numFmtId="49" fontId="7" fillId="37" borderId="1" xfId="0" applyNumberFormat="1" applyFont="1" applyFill="1" applyBorder="1" applyAlignment="1" applyProtection="1">
      <alignment horizontal="center"/>
      <protection hidden="1"/>
    </xf>
    <xf numFmtId="0" fontId="9" fillId="12" borderId="5" xfId="0" quotePrefix="1" applyFont="1" applyFill="1" applyBorder="1" applyAlignment="1" applyProtection="1">
      <alignment horizontal="center"/>
      <protection hidden="1"/>
    </xf>
    <xf numFmtId="0" fontId="9" fillId="12" borderId="0" xfId="0" applyFont="1" applyFill="1" applyBorder="1" applyAlignment="1" applyProtection="1">
      <alignment horizontal="center"/>
      <protection hidden="1"/>
    </xf>
    <xf numFmtId="0" fontId="9" fillId="12" borderId="6" xfId="0" applyFont="1" applyFill="1" applyBorder="1" applyAlignment="1" applyProtection="1">
      <alignment horizontal="center"/>
      <protection hidden="1"/>
    </xf>
    <xf numFmtId="0" fontId="9" fillId="12" borderId="5" xfId="0" applyFont="1" applyFill="1" applyBorder="1" applyAlignment="1" applyProtection="1">
      <alignment horizontal="center"/>
      <protection hidden="1"/>
    </xf>
    <xf numFmtId="0" fontId="8" fillId="12" borderId="5" xfId="0" quotePrefix="1" applyFont="1" applyFill="1" applyBorder="1" applyAlignment="1" applyProtection="1">
      <alignment horizontal="center"/>
      <protection hidden="1"/>
    </xf>
    <xf numFmtId="0" fontId="8" fillId="31" borderId="5" xfId="0" quotePrefix="1" applyFont="1" applyFill="1" applyBorder="1" applyAlignment="1" applyProtection="1">
      <alignment horizontal="center"/>
      <protection hidden="1"/>
    </xf>
    <xf numFmtId="0" fontId="8" fillId="31" borderId="0" xfId="0" applyFont="1" applyFill="1" applyBorder="1" applyAlignment="1" applyProtection="1">
      <alignment horizontal="center"/>
      <protection hidden="1"/>
    </xf>
    <xf numFmtId="0" fontId="8" fillId="31" borderId="6" xfId="0" applyFont="1" applyFill="1" applyBorder="1" applyAlignment="1" applyProtection="1">
      <alignment horizontal="center"/>
      <protection hidden="1"/>
    </xf>
    <xf numFmtId="49" fontId="7" fillId="35" borderId="1" xfId="0" applyNumberFormat="1" applyFont="1" applyFill="1" applyBorder="1" applyAlignment="1" applyProtection="1">
      <alignment horizontal="center"/>
      <protection hidden="1"/>
    </xf>
    <xf numFmtId="49" fontId="7" fillId="2" borderId="1" xfId="0" applyNumberFormat="1" applyFont="1" applyFill="1" applyBorder="1" applyAlignment="1" applyProtection="1">
      <alignment horizontal="center"/>
      <protection hidden="1"/>
    </xf>
    <xf numFmtId="49" fontId="7" fillId="3" borderId="1" xfId="0" applyNumberFormat="1" applyFont="1" applyFill="1" applyBorder="1" applyAlignment="1" applyProtection="1">
      <alignment horizontal="center"/>
      <protection hidden="1"/>
    </xf>
    <xf numFmtId="49" fontId="7" fillId="4" borderId="1" xfId="0" applyNumberFormat="1" applyFont="1" applyFill="1" applyBorder="1" applyAlignment="1" applyProtection="1">
      <alignment horizontal="center"/>
      <protection hidden="1"/>
    </xf>
    <xf numFmtId="49" fontId="7" fillId="5" borderId="1" xfId="0" applyNumberFormat="1" applyFont="1" applyFill="1" applyBorder="1" applyAlignment="1" applyProtection="1">
      <alignment horizontal="center"/>
      <protection hidden="1"/>
    </xf>
    <xf numFmtId="49" fontId="7" fillId="6" borderId="1" xfId="0" applyNumberFormat="1" applyFont="1" applyFill="1" applyBorder="1" applyAlignment="1" applyProtection="1">
      <alignment horizontal="center"/>
      <protection hidden="1"/>
    </xf>
    <xf numFmtId="49" fontId="7" fillId="7" borderId="1" xfId="0" applyNumberFormat="1" applyFont="1" applyFill="1" applyBorder="1" applyAlignment="1" applyProtection="1">
      <alignment horizontal="center"/>
      <protection hidden="1"/>
    </xf>
    <xf numFmtId="49" fontId="7" fillId="34" borderId="1" xfId="0" applyNumberFormat="1" applyFont="1" applyFill="1" applyBorder="1" applyAlignment="1" applyProtection="1">
      <alignment horizontal="center"/>
      <protection hidden="1"/>
    </xf>
    <xf numFmtId="0" fontId="8" fillId="31" borderId="2" xfId="0" applyFont="1" applyFill="1" applyBorder="1" applyAlignment="1" applyProtection="1">
      <alignment horizontal="center"/>
      <protection hidden="1"/>
    </xf>
    <xf numFmtId="0" fontId="8" fillId="31" borderId="3" xfId="0" applyFont="1" applyFill="1" applyBorder="1" applyAlignment="1" applyProtection="1">
      <alignment horizontal="center"/>
      <protection hidden="1"/>
    </xf>
    <xf numFmtId="0" fontId="8" fillId="31" borderId="4" xfId="0" applyFont="1" applyFill="1" applyBorder="1" applyAlignment="1" applyProtection="1">
      <alignment horizontal="center"/>
      <protection hidden="1"/>
    </xf>
    <xf numFmtId="49" fontId="7" fillId="36" borderId="1" xfId="0" applyNumberFormat="1" applyFont="1" applyFill="1" applyBorder="1" applyAlignment="1" applyProtection="1">
      <alignment horizontal="center"/>
      <protection hidden="1"/>
    </xf>
    <xf numFmtId="0" fontId="42" fillId="0" borderId="0" xfId="0" applyFont="1" applyFill="1" applyAlignment="1" applyProtection="1">
      <alignment horizontal="center"/>
      <protection hidden="1"/>
    </xf>
    <xf numFmtId="49" fontId="7" fillId="8" borderId="1" xfId="0" applyNumberFormat="1" applyFont="1" applyFill="1" applyBorder="1" applyAlignment="1" applyProtection="1">
      <alignment horizontal="center"/>
      <protection hidden="1"/>
    </xf>
    <xf numFmtId="49" fontId="7" fillId="9" borderId="1" xfId="0" applyNumberFormat="1" applyFont="1" applyFill="1" applyBorder="1" applyAlignment="1" applyProtection="1">
      <alignment horizontal="center"/>
      <protection hidden="1"/>
    </xf>
    <xf numFmtId="49" fontId="7" fillId="10" borderId="1" xfId="0" applyNumberFormat="1" applyFont="1" applyFill="1" applyBorder="1" applyAlignment="1" applyProtection="1">
      <alignment horizontal="center"/>
      <protection hidden="1"/>
    </xf>
    <xf numFmtId="0" fontId="0" fillId="20" borderId="2" xfId="0" applyFill="1" applyBorder="1" applyAlignment="1">
      <alignment horizontal="center"/>
    </xf>
    <xf numFmtId="0" fontId="0" fillId="20" borderId="3" xfId="0" applyFill="1" applyBorder="1" applyAlignment="1">
      <alignment horizontal="center"/>
    </xf>
    <xf numFmtId="0" fontId="0" fillId="20" borderId="4" xfId="0" applyFill="1" applyBorder="1" applyAlignment="1">
      <alignment horizontal="center"/>
    </xf>
    <xf numFmtId="0" fontId="0" fillId="21" borderId="2" xfId="0" applyFill="1" applyBorder="1" applyAlignment="1">
      <alignment horizontal="center"/>
    </xf>
    <xf numFmtId="0" fontId="0" fillId="21" borderId="3" xfId="0" applyFill="1" applyBorder="1" applyAlignment="1">
      <alignment horizontal="center"/>
    </xf>
    <xf numFmtId="0" fontId="0" fillId="21" borderId="4" xfId="0" applyFill="1" applyBorder="1" applyAlignment="1">
      <alignment horizontal="center"/>
    </xf>
    <xf numFmtId="0" fontId="10" fillId="12" borderId="59" xfId="0" applyFont="1" applyFill="1" applyBorder="1" applyAlignment="1">
      <alignment horizontal="center"/>
    </xf>
    <xf numFmtId="0" fontId="10" fillId="12" borderId="60" xfId="0" applyFont="1" applyFill="1" applyBorder="1" applyAlignment="1">
      <alignment horizontal="center"/>
    </xf>
    <xf numFmtId="0" fontId="43" fillId="0" borderId="17" xfId="0" applyFont="1" applyBorder="1" applyAlignment="1">
      <alignment horizontal="center"/>
    </xf>
    <xf numFmtId="0" fontId="43" fillId="0" borderId="18" xfId="0" applyFont="1" applyBorder="1" applyAlignment="1">
      <alignment horizontal="center"/>
    </xf>
    <xf numFmtId="0" fontId="0" fillId="16" borderId="2" xfId="0" applyFill="1" applyBorder="1" applyAlignment="1">
      <alignment horizontal="center"/>
    </xf>
    <xf numFmtId="0" fontId="0" fillId="16" borderId="3" xfId="0" applyFill="1" applyBorder="1" applyAlignment="1">
      <alignment horizontal="center"/>
    </xf>
    <xf numFmtId="0" fontId="10" fillId="12" borderId="58" xfId="0" applyFont="1" applyFill="1" applyBorder="1" applyAlignment="1">
      <alignment horizontal="center"/>
    </xf>
    <xf numFmtId="0" fontId="15" fillId="0" borderId="1" xfId="0" applyFont="1" applyBorder="1" applyAlignment="1" applyProtection="1">
      <alignment horizontal="center"/>
      <protection hidden="1"/>
    </xf>
    <xf numFmtId="0" fontId="15" fillId="0" borderId="0" xfId="0" applyFont="1" applyAlignment="1" applyProtection="1">
      <alignment horizontal="center"/>
      <protection hidden="1"/>
    </xf>
    <xf numFmtId="0" fontId="0" fillId="0" borderId="31" xfId="0" applyFill="1" applyBorder="1" applyAlignment="1" applyProtection="1">
      <alignment horizontal="center"/>
      <protection hidden="1"/>
    </xf>
    <xf numFmtId="0" fontId="0" fillId="0" borderId="32" xfId="0" applyFill="1" applyBorder="1" applyAlignment="1" applyProtection="1">
      <alignment horizontal="center"/>
      <protection hidden="1"/>
    </xf>
    <xf numFmtId="0" fontId="0" fillId="0" borderId="33" xfId="0" applyFill="1" applyBorder="1" applyAlignment="1" applyProtection="1">
      <alignment horizontal="center"/>
      <protection hidden="1"/>
    </xf>
    <xf numFmtId="0" fontId="0" fillId="0" borderId="34" xfId="0" applyFill="1" applyBorder="1" applyAlignment="1" applyProtection="1">
      <alignment horizontal="center"/>
      <protection hidden="1"/>
    </xf>
    <xf numFmtId="0" fontId="8" fillId="12" borderId="23" xfId="0" applyFont="1" applyFill="1" applyBorder="1" applyAlignment="1" applyProtection="1">
      <alignment horizontal="center"/>
      <protection hidden="1"/>
    </xf>
    <xf numFmtId="0" fontId="8" fillId="12" borderId="24" xfId="0" applyFont="1" applyFill="1" applyBorder="1" applyAlignment="1" applyProtection="1">
      <alignment horizontal="center"/>
      <protection hidden="1"/>
    </xf>
    <xf numFmtId="0" fontId="8" fillId="12" borderId="25" xfId="0" applyFont="1" applyFill="1" applyBorder="1" applyAlignment="1" applyProtection="1">
      <alignment horizontal="center"/>
      <protection hidden="1"/>
    </xf>
    <xf numFmtId="0" fontId="12" fillId="14" borderId="17" xfId="0" applyFont="1" applyFill="1" applyBorder="1" applyAlignment="1" applyProtection="1">
      <alignment horizontal="center"/>
      <protection hidden="1"/>
    </xf>
    <xf numFmtId="0" fontId="12" fillId="14" borderId="18" xfId="0" applyFont="1" applyFill="1" applyBorder="1" applyProtection="1">
      <protection hidden="1"/>
    </xf>
    <xf numFmtId="0" fontId="12" fillId="14" borderId="19" xfId="0" applyFont="1" applyFill="1" applyBorder="1" applyProtection="1">
      <protection hidden="1"/>
    </xf>
    <xf numFmtId="0" fontId="0" fillId="14" borderId="20" xfId="0" applyFill="1" applyBorder="1" applyAlignment="1" applyProtection="1">
      <alignment horizontal="center"/>
      <protection locked="0"/>
    </xf>
    <xf numFmtId="0" fontId="0" fillId="14" borderId="21" xfId="0" applyFill="1" applyBorder="1" applyAlignment="1" applyProtection="1">
      <alignment horizontal="center"/>
      <protection locked="0"/>
    </xf>
    <xf numFmtId="0" fontId="0" fillId="14" borderId="22" xfId="0" applyFill="1" applyBorder="1" applyAlignment="1" applyProtection="1">
      <alignment horizontal="center"/>
      <protection locked="0"/>
    </xf>
    <xf numFmtId="0" fontId="22" fillId="14" borderId="17" xfId="0" applyFont="1" applyFill="1" applyBorder="1" applyAlignment="1" applyProtection="1">
      <alignment horizontal="center"/>
      <protection locked="0"/>
    </xf>
    <xf numFmtId="0" fontId="22" fillId="14" borderId="18" xfId="0" applyFont="1" applyFill="1" applyBorder="1" applyAlignment="1" applyProtection="1">
      <alignment horizontal="center"/>
      <protection locked="0"/>
    </xf>
    <xf numFmtId="0" fontId="22" fillId="14" borderId="19" xfId="0" applyFont="1" applyFill="1" applyBorder="1" applyAlignment="1" applyProtection="1">
      <alignment horizontal="center"/>
      <protection locked="0"/>
    </xf>
    <xf numFmtId="0" fontId="22" fillId="12" borderId="17" xfId="0" applyFont="1" applyFill="1" applyBorder="1" applyAlignment="1" applyProtection="1">
      <alignment horizontal="center"/>
      <protection hidden="1"/>
    </xf>
    <xf numFmtId="0" fontId="22" fillId="12" borderId="18" xfId="0" applyFont="1" applyFill="1" applyBorder="1" applyAlignment="1" applyProtection="1">
      <alignment horizontal="center"/>
      <protection hidden="1"/>
    </xf>
    <xf numFmtId="0" fontId="22" fillId="12" borderId="19" xfId="0" applyFont="1" applyFill="1" applyBorder="1" applyAlignment="1" applyProtection="1">
      <alignment horizontal="center"/>
      <protection hidden="1"/>
    </xf>
    <xf numFmtId="0" fontId="10" fillId="14" borderId="38" xfId="0" applyFont="1" applyFill="1" applyBorder="1" applyAlignment="1" applyProtection="1">
      <alignment horizontal="left"/>
      <protection locked="0"/>
    </xf>
    <xf numFmtId="0" fontId="10" fillId="14" borderId="21" xfId="0" applyFont="1" applyFill="1" applyBorder="1" applyAlignment="1" applyProtection="1">
      <alignment horizontal="left"/>
      <protection locked="0"/>
    </xf>
    <xf numFmtId="0" fontId="10" fillId="14" borderId="22" xfId="0" applyFont="1" applyFill="1" applyBorder="1" applyAlignment="1" applyProtection="1">
      <alignment horizontal="left"/>
      <protection locked="0"/>
    </xf>
    <xf numFmtId="49" fontId="8" fillId="12" borderId="26" xfId="0" applyNumberFormat="1" applyFont="1" applyFill="1" applyBorder="1" applyAlignment="1" applyProtection="1">
      <alignment horizontal="center"/>
      <protection hidden="1"/>
    </xf>
    <xf numFmtId="49" fontId="8" fillId="12" borderId="27" xfId="0" applyNumberFormat="1" applyFont="1" applyFill="1" applyBorder="1" applyAlignment="1" applyProtection="1">
      <alignment horizontal="center"/>
      <protection hidden="1"/>
    </xf>
    <xf numFmtId="49" fontId="8" fillId="12" borderId="28" xfId="0" applyNumberFormat="1" applyFont="1" applyFill="1" applyBorder="1" applyAlignment="1" applyProtection="1">
      <alignment horizontal="center"/>
      <protection hidden="1"/>
    </xf>
    <xf numFmtId="49" fontId="8" fillId="12" borderId="5" xfId="0" applyNumberFormat="1" applyFont="1" applyFill="1" applyBorder="1" applyAlignment="1" applyProtection="1">
      <alignment horizontal="center"/>
      <protection hidden="1"/>
    </xf>
    <xf numFmtId="49" fontId="8" fillId="12" borderId="0" xfId="0" applyNumberFormat="1" applyFont="1" applyFill="1" applyBorder="1" applyAlignment="1" applyProtection="1">
      <alignment horizontal="center"/>
      <protection hidden="1"/>
    </xf>
    <xf numFmtId="49" fontId="8" fillId="12" borderId="6" xfId="0" applyNumberFormat="1" applyFont="1" applyFill="1" applyBorder="1" applyAlignment="1" applyProtection="1">
      <alignment horizontal="center"/>
      <protection hidden="1"/>
    </xf>
    <xf numFmtId="49" fontId="9" fillId="12" borderId="7" xfId="0" applyNumberFormat="1" applyFont="1" applyFill="1" applyBorder="1" applyAlignment="1" applyProtection="1">
      <alignment horizontal="center"/>
      <protection hidden="1"/>
    </xf>
    <xf numFmtId="49" fontId="9" fillId="12" borderId="1" xfId="0" applyNumberFormat="1" applyFont="1" applyFill="1" applyBorder="1" applyAlignment="1" applyProtection="1">
      <alignment horizontal="center"/>
      <protection hidden="1"/>
    </xf>
    <xf numFmtId="49" fontId="9" fillId="12" borderId="8" xfId="0" applyNumberFormat="1" applyFont="1" applyFill="1" applyBorder="1" applyAlignment="1" applyProtection="1">
      <alignment horizontal="center"/>
      <protection hidden="1"/>
    </xf>
    <xf numFmtId="167" fontId="38" fillId="18" borderId="20" xfId="0" applyNumberFormat="1" applyFont="1" applyFill="1" applyBorder="1" applyAlignment="1" applyProtection="1">
      <alignment horizontal="right"/>
      <protection locked="0"/>
    </xf>
    <xf numFmtId="167" fontId="38" fillId="18" borderId="21" xfId="0" applyNumberFormat="1" applyFont="1" applyFill="1" applyBorder="1" applyAlignment="1" applyProtection="1">
      <alignment horizontal="right"/>
      <protection locked="0"/>
    </xf>
    <xf numFmtId="0" fontId="38" fillId="0" borderId="44" xfId="0" applyFont="1" applyBorder="1" applyAlignment="1" applyProtection="1">
      <alignment horizontal="center"/>
      <protection hidden="1"/>
    </xf>
    <xf numFmtId="0" fontId="38" fillId="0" borderId="0" xfId="0" applyFont="1" applyBorder="1" applyAlignment="1" applyProtection="1">
      <alignment horizontal="center"/>
      <protection hidden="1"/>
    </xf>
  </cellXfs>
  <cellStyles count="2">
    <cellStyle name="Normal" xfId="0" builtinId="0"/>
    <cellStyle name="Pourcentage" xfId="1" builtinId="5"/>
  </cellStyles>
  <dxfs count="223">
    <dxf>
      <font>
        <color theme="0"/>
      </font>
    </dxf>
    <dxf>
      <font>
        <color theme="0"/>
      </font>
    </dxf>
    <dxf>
      <font>
        <color theme="0"/>
      </font>
    </dxf>
    <dxf>
      <font>
        <color theme="0"/>
      </font>
    </dxf>
    <dxf>
      <font>
        <color theme="0"/>
      </font>
    </dxf>
    <dxf>
      <font>
        <color theme="0"/>
      </font>
    </dxf>
    <dxf>
      <font>
        <color theme="0" tint="-0.24994659260841701"/>
      </font>
    </dxf>
    <dxf>
      <fill>
        <patternFill>
          <bgColor indexed="52"/>
        </patternFill>
      </fill>
    </dxf>
    <dxf>
      <fill>
        <patternFill>
          <bgColor rgb="FFFF0000"/>
        </patternFill>
      </fill>
    </dxf>
    <dxf>
      <fill>
        <patternFill>
          <bgColor indexed="11"/>
        </patternFill>
      </fill>
    </dxf>
    <dxf>
      <fill>
        <patternFill>
          <bgColor rgb="FFFF0000"/>
        </patternFill>
      </fill>
    </dxf>
    <dxf>
      <fill>
        <patternFill>
          <bgColor indexed="52"/>
        </patternFill>
      </fill>
    </dxf>
    <dxf>
      <fill>
        <patternFill>
          <bgColor indexed="11"/>
        </patternFill>
      </fill>
    </dxf>
    <dxf>
      <fill>
        <patternFill>
          <bgColor rgb="FFFF0000"/>
        </patternFill>
      </fill>
    </dxf>
    <dxf>
      <fill>
        <patternFill>
          <bgColor rgb="FFFF9900"/>
        </patternFill>
      </fill>
    </dxf>
    <dxf>
      <fill>
        <patternFill>
          <bgColor indexed="11"/>
        </patternFill>
      </fill>
    </dxf>
    <dxf>
      <fill>
        <patternFill>
          <bgColor indexed="52"/>
        </patternFill>
      </fill>
    </dxf>
    <dxf>
      <font>
        <condense val="0"/>
        <extend val="0"/>
        <color auto="1"/>
      </font>
      <fill>
        <patternFill>
          <bgColor indexed="11"/>
        </patternFill>
      </fill>
    </dxf>
    <dxf>
      <fill>
        <patternFill>
          <bgColor rgb="FFFF0000"/>
        </patternFill>
      </fill>
    </dxf>
    <dxf>
      <fill>
        <patternFill>
          <bgColor indexed="52"/>
        </patternFill>
      </fill>
    </dxf>
    <dxf>
      <fill>
        <patternFill>
          <bgColor indexed="11"/>
        </patternFill>
      </fill>
    </dxf>
    <dxf>
      <fill>
        <patternFill>
          <bgColor rgb="FFFF0000"/>
        </patternFill>
      </fill>
    </dxf>
    <dxf>
      <fill>
        <patternFill>
          <bgColor indexed="11"/>
        </patternFill>
      </fill>
    </dxf>
    <dxf>
      <fill>
        <patternFill>
          <bgColor indexed="52"/>
        </patternFill>
      </fill>
    </dxf>
    <dxf>
      <fill>
        <patternFill>
          <bgColor rgb="FFFF00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9900"/>
        </patternFill>
      </fill>
    </dxf>
    <dxf>
      <fill>
        <patternFill>
          <bgColor rgb="FF00FF00"/>
        </patternFill>
      </fill>
    </dxf>
    <dxf>
      <fill>
        <patternFill>
          <bgColor rgb="FFFF0000"/>
        </patternFill>
      </fill>
    </dxf>
    <dxf>
      <font>
        <color theme="0"/>
      </font>
      <fill>
        <patternFill patternType="none">
          <bgColor auto="1"/>
        </patternFill>
      </fill>
    </dxf>
    <dxf>
      <fill>
        <patternFill>
          <bgColor rgb="FF00FF00"/>
        </patternFill>
      </fill>
    </dxf>
    <dxf>
      <fill>
        <patternFill>
          <bgColor rgb="FFFF9900"/>
        </patternFill>
      </fill>
    </dxf>
    <dxf>
      <fill>
        <patternFill>
          <bgColor rgb="FFFF0000"/>
        </patternFill>
      </fill>
    </dxf>
    <dxf>
      <fill>
        <patternFill>
          <bgColor rgb="FFFF0000"/>
        </patternFill>
      </fill>
    </dxf>
    <dxf>
      <fill>
        <patternFill>
          <bgColor rgb="FFFF9900"/>
        </patternFill>
      </fill>
    </dxf>
    <dxf>
      <fill>
        <patternFill>
          <bgColor rgb="FF00FF00"/>
        </patternFill>
      </fill>
    </dxf>
    <dxf>
      <fill>
        <patternFill>
          <bgColor rgb="FF00FF00"/>
        </patternFill>
      </fill>
    </dxf>
    <dxf>
      <fill>
        <patternFill>
          <bgColor rgb="FFFF0000"/>
        </patternFill>
      </fill>
    </dxf>
    <dxf>
      <fill>
        <patternFill>
          <bgColor rgb="FFFF9900"/>
        </patternFill>
      </fill>
    </dxf>
    <dxf>
      <fill>
        <patternFill>
          <bgColor rgb="FFFF0000"/>
        </patternFill>
      </fill>
    </dxf>
    <dxf>
      <fill>
        <patternFill>
          <bgColor rgb="FFFF9900"/>
        </patternFill>
      </fill>
    </dxf>
    <dxf>
      <fill>
        <patternFill>
          <bgColor rgb="FF00FF00"/>
        </patternFill>
      </fill>
    </dxf>
    <dxf>
      <font>
        <color theme="0"/>
      </font>
      <fill>
        <patternFill patternType="none">
          <bgColor auto="1"/>
        </patternFill>
      </fill>
    </dxf>
    <dxf>
      <fill>
        <patternFill>
          <bgColor rgb="FFFF0000"/>
        </patternFill>
      </fill>
    </dxf>
    <dxf>
      <fill>
        <patternFill>
          <bgColor rgb="FFFF9900"/>
        </patternFill>
      </fill>
    </dxf>
    <dxf>
      <fill>
        <patternFill>
          <bgColor rgb="FF00FF00"/>
        </patternFill>
      </fill>
    </dxf>
    <dxf>
      <font>
        <color theme="0"/>
      </font>
      <fill>
        <patternFill patternType="solid">
          <bgColor theme="0" tint="-4.9989318521683403E-2"/>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00FF00"/>
        </patternFill>
      </fill>
    </dxf>
    <dxf>
      <fill>
        <patternFill>
          <bgColor rgb="FFFF9900"/>
        </patternFill>
      </fill>
    </dxf>
    <dxf>
      <font>
        <color theme="0"/>
      </font>
      <fill>
        <patternFill patternType="none">
          <bgColor auto="1"/>
        </patternFill>
      </fill>
    </dxf>
    <dxf>
      <fill>
        <patternFill>
          <bgColor rgb="FFFF0000"/>
        </patternFill>
      </fill>
    </dxf>
    <dxf>
      <fill>
        <patternFill>
          <bgColor rgb="FFFF9900"/>
        </patternFill>
      </fill>
    </dxf>
    <dxf>
      <fill>
        <patternFill>
          <bgColor rgb="FF00FF00"/>
        </patternFill>
      </fill>
    </dxf>
    <dxf>
      <fill>
        <patternFill>
          <bgColor rgb="FFFF9900"/>
        </patternFill>
      </fill>
    </dxf>
    <dxf>
      <fill>
        <patternFill>
          <bgColor rgb="FF00FF00"/>
        </patternFill>
      </fill>
    </dxf>
    <dxf>
      <fill>
        <patternFill>
          <bgColor rgb="FFFF0000"/>
        </patternFill>
      </fill>
    </dxf>
    <dxf>
      <font>
        <color theme="0"/>
      </font>
      <fill>
        <patternFill>
          <bgColor theme="0" tint="-4.9989318521683403E-2"/>
        </patternFill>
      </fill>
    </dxf>
    <dxf>
      <fill>
        <patternFill>
          <bgColor rgb="FFFF9900"/>
        </patternFill>
      </fill>
    </dxf>
    <dxf>
      <fill>
        <patternFill>
          <bgColor rgb="FF00FF00"/>
        </patternFill>
      </fill>
    </dxf>
    <dxf>
      <fill>
        <patternFill>
          <bgColor rgb="FFFF0000"/>
        </patternFill>
      </fill>
    </dxf>
    <dxf>
      <font>
        <color theme="0"/>
      </font>
      <fill>
        <patternFill>
          <bgColor theme="0" tint="-4.9989318521683403E-2"/>
        </patternFill>
      </fill>
    </dxf>
    <dxf>
      <fill>
        <patternFill>
          <bgColor rgb="FFFF9900"/>
        </patternFill>
      </fill>
    </dxf>
    <dxf>
      <fill>
        <patternFill>
          <bgColor rgb="FF00FF00"/>
        </patternFill>
      </fill>
    </dxf>
    <dxf>
      <font>
        <color auto="1"/>
      </font>
      <fill>
        <patternFill patternType="solid">
          <bgColor rgb="FFFF0000"/>
        </patternFill>
      </fill>
    </dxf>
    <dxf>
      <font>
        <color theme="0"/>
      </font>
      <fill>
        <patternFill>
          <bgColor theme="0"/>
        </patternFill>
      </fill>
    </dxf>
    <dxf>
      <fill>
        <patternFill>
          <bgColor rgb="FFFF0000"/>
        </patternFill>
      </fill>
    </dxf>
    <dxf>
      <fill>
        <patternFill>
          <bgColor indexed="11"/>
        </patternFill>
      </fill>
    </dxf>
    <dxf>
      <fill>
        <patternFill>
          <bgColor indexed="52"/>
        </patternFill>
      </fill>
    </dxf>
    <dxf>
      <fill>
        <patternFill>
          <bgColor rgb="FFFF0000"/>
        </patternFill>
      </fill>
    </dxf>
    <dxf>
      <fill>
        <patternFill>
          <bgColor indexed="11"/>
        </patternFill>
      </fill>
    </dxf>
    <dxf>
      <fill>
        <patternFill>
          <bgColor indexed="52"/>
        </patternFill>
      </fill>
    </dxf>
    <dxf>
      <fill>
        <patternFill>
          <bgColor rgb="FFFF0000"/>
        </patternFill>
      </fill>
    </dxf>
    <dxf>
      <fill>
        <patternFill>
          <bgColor indexed="11"/>
        </patternFill>
      </fill>
    </dxf>
    <dxf>
      <fill>
        <patternFill>
          <bgColor indexed="52"/>
        </patternFill>
      </fill>
    </dxf>
    <dxf>
      <font>
        <color rgb="FF00FF00"/>
      </font>
      <fill>
        <patternFill>
          <bgColor rgb="FF00FF00"/>
        </patternFill>
      </fill>
      <border>
        <left/>
        <right/>
        <top/>
        <bottom/>
        <vertical/>
        <horizontal/>
      </border>
    </dxf>
    <dxf>
      <font>
        <color rgb="FFFF0000"/>
      </font>
      <fill>
        <patternFill>
          <bgColor rgb="FFFF0000"/>
        </patternFill>
      </fill>
      <border>
        <left/>
        <right/>
        <top/>
        <bottom/>
        <vertical/>
        <horizontal/>
      </border>
    </dxf>
    <dxf>
      <font>
        <color rgb="FFFFC000"/>
      </font>
      <fill>
        <patternFill>
          <bgColor rgb="FFFFC000"/>
        </patternFill>
      </fill>
      <border>
        <left/>
        <right/>
        <top/>
        <bottom/>
      </border>
    </dxf>
    <dxf>
      <font>
        <color rgb="FF00FF00"/>
      </font>
      <fill>
        <patternFill>
          <bgColor rgb="FF00FF00"/>
        </patternFill>
      </fill>
      <border>
        <left/>
        <right/>
        <top/>
        <bottom/>
        <vertical/>
        <horizontal/>
      </border>
    </dxf>
    <dxf>
      <font>
        <color rgb="FFFFC000"/>
      </font>
      <fill>
        <patternFill>
          <bgColor rgb="FFFFC000"/>
        </patternFill>
      </fill>
      <border>
        <left/>
        <right/>
        <top/>
        <bottom/>
      </border>
    </dxf>
    <dxf>
      <font>
        <color rgb="FFFF0000"/>
      </font>
      <fill>
        <patternFill>
          <bgColor rgb="FFFF0000"/>
        </patternFill>
      </fill>
      <border>
        <left/>
        <right/>
        <top/>
        <bottom/>
        <vertical/>
        <horizontal/>
      </border>
    </dxf>
    <dxf>
      <font>
        <color theme="0"/>
      </font>
    </dxf>
    <dxf>
      <font>
        <color theme="0"/>
      </font>
    </dxf>
    <dxf>
      <font>
        <color theme="0"/>
      </font>
    </dxf>
    <dxf>
      <font>
        <color theme="0"/>
      </font>
    </dxf>
    <dxf>
      <font>
        <color theme="0"/>
      </font>
    </dxf>
    <dxf>
      <font>
        <color theme="0"/>
      </font>
    </dxf>
    <dxf>
      <font>
        <color theme="0" tint="-0.24994659260841701"/>
      </font>
    </dxf>
    <dxf>
      <fill>
        <patternFill>
          <bgColor rgb="FFFF0000"/>
        </patternFill>
      </fill>
    </dxf>
    <dxf>
      <fill>
        <patternFill>
          <bgColor indexed="52"/>
        </patternFill>
      </fill>
    </dxf>
    <dxf>
      <fill>
        <patternFill>
          <bgColor indexed="11"/>
        </patternFill>
      </fill>
    </dxf>
    <dxf>
      <fill>
        <patternFill>
          <bgColor rgb="FFFF0000"/>
        </patternFill>
      </fill>
    </dxf>
    <dxf>
      <fill>
        <patternFill>
          <bgColor indexed="52"/>
        </patternFill>
      </fill>
    </dxf>
    <dxf>
      <fill>
        <patternFill>
          <bgColor indexed="11"/>
        </patternFill>
      </fill>
    </dxf>
    <dxf>
      <fill>
        <patternFill>
          <bgColor rgb="FFFF0000"/>
        </patternFill>
      </fill>
    </dxf>
    <dxf>
      <fill>
        <patternFill>
          <bgColor rgb="FFFF9900"/>
        </patternFill>
      </fill>
    </dxf>
    <dxf>
      <fill>
        <patternFill>
          <bgColor indexed="11"/>
        </patternFill>
      </fill>
    </dxf>
    <dxf>
      <fill>
        <patternFill>
          <bgColor indexed="52"/>
        </patternFill>
      </fill>
    </dxf>
    <dxf>
      <fill>
        <patternFill>
          <bgColor rgb="FFFF0000"/>
        </patternFill>
      </fill>
    </dxf>
    <dxf>
      <font>
        <condense val="0"/>
        <extend val="0"/>
        <color auto="1"/>
      </font>
      <fill>
        <patternFill>
          <bgColor indexed="11"/>
        </patternFill>
      </fill>
    </dxf>
    <dxf>
      <fill>
        <patternFill>
          <bgColor rgb="FFFF0000"/>
        </patternFill>
      </fill>
    </dxf>
    <dxf>
      <fill>
        <patternFill>
          <bgColor indexed="52"/>
        </patternFill>
      </fill>
    </dxf>
    <dxf>
      <fill>
        <patternFill>
          <bgColor indexed="11"/>
        </patternFill>
      </fill>
    </dxf>
    <dxf>
      <fill>
        <patternFill>
          <bgColor rgb="FFFF0000"/>
        </patternFill>
      </fill>
    </dxf>
    <dxf>
      <fill>
        <patternFill>
          <bgColor indexed="11"/>
        </patternFill>
      </fill>
    </dxf>
    <dxf>
      <fill>
        <patternFill>
          <bgColor indexed="52"/>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00FF00"/>
        </patternFill>
      </fill>
    </dxf>
    <dxf>
      <fill>
        <patternFill>
          <bgColor rgb="FFFF9900"/>
        </patternFill>
      </fill>
    </dxf>
    <dxf>
      <fill>
        <patternFill>
          <bgColor rgb="FFFF9900"/>
        </patternFill>
      </fill>
    </dxf>
    <dxf>
      <fill>
        <patternFill>
          <bgColor rgb="FF00FF00"/>
        </patternFill>
      </fill>
    </dxf>
    <dxf>
      <fill>
        <patternFill>
          <bgColor rgb="FFFF00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9900"/>
        </patternFill>
      </fill>
    </dxf>
    <dxf>
      <fill>
        <patternFill>
          <bgColor rgb="FF00FF00"/>
        </patternFill>
      </fill>
    </dxf>
    <dxf>
      <fill>
        <patternFill>
          <bgColor rgb="FFFF00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00FF00"/>
        </patternFill>
      </fill>
    </dxf>
    <dxf>
      <fill>
        <patternFill>
          <bgColor rgb="FFFF9900"/>
        </patternFill>
      </fill>
    </dxf>
    <dxf>
      <font>
        <color theme="0"/>
      </font>
      <fill>
        <patternFill patternType="none">
          <bgColor auto="1"/>
        </patternFill>
      </fill>
    </dxf>
    <dxf>
      <fill>
        <patternFill>
          <bgColor rgb="FF00FF00"/>
        </patternFill>
      </fill>
    </dxf>
    <dxf>
      <fill>
        <patternFill>
          <bgColor rgb="FFFF0000"/>
        </patternFill>
      </fill>
    </dxf>
    <dxf>
      <fill>
        <patternFill>
          <bgColor rgb="FFFF9900"/>
        </patternFill>
      </fill>
    </dxf>
    <dxf>
      <fill>
        <patternFill>
          <bgColor rgb="FFFF9900"/>
        </patternFill>
      </fill>
    </dxf>
    <dxf>
      <fill>
        <patternFill>
          <bgColor rgb="FFFF0000"/>
        </patternFill>
      </fill>
    </dxf>
    <dxf>
      <fill>
        <patternFill>
          <bgColor rgb="FF00FF00"/>
        </patternFill>
      </fill>
    </dxf>
    <dxf>
      <fill>
        <patternFill>
          <bgColor rgb="FFFF9900"/>
        </patternFill>
      </fill>
    </dxf>
    <dxf>
      <fill>
        <patternFill>
          <bgColor rgb="FF00FF00"/>
        </patternFill>
      </fill>
    </dxf>
    <dxf>
      <fill>
        <patternFill>
          <bgColor rgb="FFFF0000"/>
        </patternFill>
      </fill>
    </dxf>
    <dxf>
      <fill>
        <patternFill>
          <bgColor rgb="FF00FF00"/>
        </patternFill>
      </fill>
    </dxf>
    <dxf>
      <fill>
        <patternFill>
          <bgColor rgb="FFFF99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ill>
        <patternFill>
          <bgColor rgb="FFFF0000"/>
        </patternFill>
      </fill>
    </dxf>
    <dxf>
      <fill>
        <patternFill>
          <bgColor rgb="FFFF9900"/>
        </patternFill>
      </fill>
    </dxf>
    <dxf>
      <fill>
        <patternFill>
          <bgColor rgb="FF00FF00"/>
        </patternFill>
      </fill>
    </dxf>
    <dxf>
      <font>
        <color theme="0"/>
      </font>
      <fill>
        <patternFill patternType="none">
          <bgColor auto="1"/>
        </patternFill>
      </fill>
    </dxf>
    <dxf>
      <fill>
        <patternFill>
          <bgColor rgb="FFFF0000"/>
        </patternFill>
      </fill>
    </dxf>
    <dxf>
      <fill>
        <patternFill>
          <bgColor rgb="FFFF9900"/>
        </patternFill>
      </fill>
    </dxf>
    <dxf>
      <fill>
        <patternFill>
          <bgColor rgb="FF00FF00"/>
        </patternFill>
      </fill>
    </dxf>
    <dxf>
      <fill>
        <patternFill>
          <bgColor rgb="FFFF9900"/>
        </patternFill>
      </fill>
    </dxf>
    <dxf>
      <fill>
        <patternFill>
          <bgColor rgb="FF00FF00"/>
        </patternFill>
      </fill>
    </dxf>
    <dxf>
      <fill>
        <patternFill>
          <bgColor rgb="FFFF0000"/>
        </patternFill>
      </fill>
    </dxf>
    <dxf>
      <font>
        <color theme="0"/>
      </font>
      <fill>
        <patternFill patternType="none">
          <bgColor auto="1"/>
        </patternFill>
      </fill>
    </dxf>
    <dxf>
      <fill>
        <patternFill>
          <bgColor rgb="FFFF9900"/>
        </patternFill>
      </fill>
    </dxf>
    <dxf>
      <font>
        <color auto="1"/>
      </font>
      <fill>
        <patternFill patternType="solid">
          <bgColor rgb="FFFF0000"/>
        </patternFill>
      </fill>
    </dxf>
    <dxf>
      <fill>
        <patternFill>
          <bgColor rgb="FF00FF00"/>
        </patternFill>
      </fill>
    </dxf>
    <dxf>
      <font>
        <color theme="0"/>
      </font>
      <fill>
        <patternFill patternType="none">
          <bgColor auto="1"/>
        </patternFill>
      </fill>
    </dxf>
    <dxf>
      <fill>
        <patternFill>
          <bgColor rgb="FFFF0000"/>
        </patternFill>
      </fill>
    </dxf>
    <dxf>
      <fill>
        <patternFill>
          <bgColor indexed="11"/>
        </patternFill>
      </fill>
    </dxf>
    <dxf>
      <fill>
        <patternFill>
          <bgColor indexed="52"/>
        </patternFill>
      </fill>
    </dxf>
    <dxf>
      <fill>
        <patternFill>
          <bgColor rgb="FFFF0000"/>
        </patternFill>
      </fill>
    </dxf>
    <dxf>
      <fill>
        <patternFill>
          <bgColor indexed="52"/>
        </patternFill>
      </fill>
    </dxf>
    <dxf>
      <fill>
        <patternFill>
          <bgColor indexed="11"/>
        </patternFill>
      </fill>
    </dxf>
    <dxf>
      <fill>
        <patternFill>
          <bgColor indexed="11"/>
        </patternFill>
      </fill>
    </dxf>
    <dxf>
      <fill>
        <patternFill>
          <bgColor rgb="FFFF0000"/>
        </patternFill>
      </fill>
    </dxf>
    <dxf>
      <fill>
        <patternFill>
          <bgColor indexed="52"/>
        </patternFill>
      </fill>
    </dxf>
    <dxf>
      <font>
        <color rgb="FFFFC000"/>
      </font>
      <fill>
        <patternFill>
          <bgColor rgb="FFFFC000"/>
        </patternFill>
      </fill>
      <border>
        <left/>
        <right/>
        <top/>
        <bottom/>
      </border>
    </dxf>
    <dxf>
      <font>
        <color rgb="FFFF0000"/>
      </font>
      <fill>
        <patternFill>
          <bgColor rgb="FFFF0000"/>
        </patternFill>
      </fill>
      <border>
        <left/>
        <right/>
        <top/>
        <bottom/>
        <vertical/>
        <horizontal/>
      </border>
    </dxf>
    <dxf>
      <font>
        <color rgb="FF00FF00"/>
      </font>
      <fill>
        <patternFill>
          <bgColor rgb="FF00FF00"/>
        </patternFill>
      </fill>
      <border>
        <left/>
        <right/>
        <top/>
        <bottom/>
        <vertical/>
        <horizontal/>
      </border>
    </dxf>
    <dxf>
      <font>
        <color rgb="FFFF0000"/>
      </font>
      <fill>
        <patternFill>
          <bgColor rgb="FFFF0000"/>
        </patternFill>
      </fill>
      <border>
        <left/>
        <right/>
        <top/>
        <bottom/>
        <vertical/>
        <horizontal/>
      </border>
    </dxf>
    <dxf>
      <font>
        <color rgb="FFFFC000"/>
      </font>
      <fill>
        <patternFill>
          <bgColor rgb="FFFFC000"/>
        </patternFill>
      </fill>
      <border>
        <left/>
        <right/>
        <top/>
        <bottom/>
      </border>
    </dxf>
    <dxf>
      <font>
        <color rgb="FF00FF00"/>
      </font>
      <fill>
        <patternFill>
          <bgColor rgb="FF00FF00"/>
        </patternFill>
      </fill>
      <border>
        <left/>
        <right/>
        <top/>
        <bottom/>
        <vertical/>
        <horizontal/>
      </border>
    </dxf>
  </dxfs>
  <tableStyles count="0" defaultTableStyle="TableStyleMedium2" defaultPivotStyle="PivotStyleLight16"/>
  <colors>
    <mruColors>
      <color rgb="FF0000FF"/>
      <color rgb="FF00FF00"/>
      <color rgb="FFCCECFF"/>
      <color rgb="FFFFCC99"/>
      <color rgb="FFFFFF99"/>
      <color rgb="FFFFFFCC"/>
      <color rgb="FFFF9900"/>
      <color rgb="FF000080"/>
      <color rgb="FFCCFFC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0"/>
          <c:spPr>
            <a:ln w="28575">
              <a:noFill/>
            </a:ln>
          </c:spPr>
          <c:trendline>
            <c:trendlineType val="linear"/>
            <c:dispRSqr val="1"/>
            <c:dispEq val="1"/>
            <c:trendlineLbl>
              <c:layout>
                <c:manualLayout>
                  <c:x val="0.35829133858267714"/>
                  <c:y val="0.12651538349372995"/>
                </c:manualLayout>
              </c:layout>
              <c:numFmt formatCode="#,##0.0000000000" sourceLinked="0"/>
            </c:trendlineLbl>
          </c:trendline>
          <c:xVal>
            <c:numRef>
              <c:f>'Références Récolte Herbe'!$C$54:$C$61</c:f>
            </c:numRef>
          </c:xVal>
          <c:yVal>
            <c:numRef>
              <c:f>'Références Récolte Herbe'!$E$54:$E$61</c:f>
            </c:numRef>
          </c:yVal>
          <c:smooth val="0"/>
          <c:extLst>
            <c:ext xmlns:c16="http://schemas.microsoft.com/office/drawing/2014/chart" uri="{C3380CC4-5D6E-409C-BE32-E72D297353CC}">
              <c16:uniqueId val="{00000001-EE58-4A1E-AE5A-D3FF19F2EC5B}"/>
            </c:ext>
          </c:extLst>
        </c:ser>
        <c:dLbls>
          <c:showLegendKey val="0"/>
          <c:showVal val="0"/>
          <c:showCatName val="0"/>
          <c:showSerName val="0"/>
          <c:showPercent val="0"/>
          <c:showBubbleSize val="0"/>
        </c:dLbls>
        <c:axId val="137487872"/>
        <c:axId val="137489408"/>
      </c:scatterChart>
      <c:valAx>
        <c:axId val="137487872"/>
        <c:scaling>
          <c:orientation val="minMax"/>
        </c:scaling>
        <c:delete val="0"/>
        <c:axPos val="b"/>
        <c:numFmt formatCode="0.0" sourceLinked="1"/>
        <c:majorTickMark val="out"/>
        <c:minorTickMark val="none"/>
        <c:tickLblPos val="nextTo"/>
        <c:crossAx val="137489408"/>
        <c:crosses val="autoZero"/>
        <c:crossBetween val="midCat"/>
      </c:valAx>
      <c:valAx>
        <c:axId val="137489408"/>
        <c:scaling>
          <c:orientation val="minMax"/>
        </c:scaling>
        <c:delete val="0"/>
        <c:axPos val="l"/>
        <c:majorGridlines/>
        <c:numFmt formatCode="0.0" sourceLinked="1"/>
        <c:majorTickMark val="out"/>
        <c:minorTickMark val="none"/>
        <c:tickLblPos val="nextTo"/>
        <c:crossAx val="137487872"/>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6"/>
          <c:order val="0"/>
          <c:spPr>
            <a:ln w="28575">
              <a:noFill/>
            </a:ln>
          </c:spPr>
          <c:marker>
            <c:symbol val="square"/>
            <c:size val="8"/>
            <c:spPr>
              <a:solidFill>
                <a:srgbClr val="0000FF"/>
              </a:solidFill>
            </c:spPr>
          </c:marker>
          <c:trendline>
            <c:trendlineType val="linear"/>
            <c:dispRSqr val="1"/>
            <c:dispEq val="1"/>
            <c:trendlineLbl>
              <c:layout>
                <c:manualLayout>
                  <c:x val="0.20175918635170603"/>
                  <c:y val="0.45322907553222513"/>
                </c:manualLayout>
              </c:layout>
              <c:numFmt formatCode="#,##0.0000000000" sourceLinked="0"/>
            </c:trendlineLbl>
          </c:trendline>
          <c:xVal>
            <c:numRef>
              <c:f>'Références Récolte Herbe'!$Z$54:$Z$61</c:f>
            </c:numRef>
          </c:xVal>
          <c:yVal>
            <c:numRef>
              <c:f>'Références Récolte Herbe'!$C$54:$C$61</c:f>
            </c:numRef>
          </c:yVal>
          <c:smooth val="0"/>
          <c:extLst>
            <c:ext xmlns:c16="http://schemas.microsoft.com/office/drawing/2014/chart" uri="{C3380CC4-5D6E-409C-BE32-E72D297353CC}">
              <c16:uniqueId val="{00000001-A626-4BCF-8396-4A08660A05EC}"/>
            </c:ext>
          </c:extLst>
        </c:ser>
        <c:dLbls>
          <c:showLegendKey val="0"/>
          <c:showVal val="0"/>
          <c:showCatName val="0"/>
          <c:showSerName val="0"/>
          <c:showPercent val="0"/>
          <c:showBubbleSize val="0"/>
        </c:dLbls>
        <c:axId val="137276800"/>
        <c:axId val="137282688"/>
      </c:scatterChart>
      <c:valAx>
        <c:axId val="137276800"/>
        <c:scaling>
          <c:orientation val="minMax"/>
          <c:max val="120"/>
          <c:min val="60"/>
        </c:scaling>
        <c:delete val="0"/>
        <c:axPos val="b"/>
        <c:numFmt formatCode="0.0" sourceLinked="1"/>
        <c:majorTickMark val="out"/>
        <c:minorTickMark val="none"/>
        <c:tickLblPos val="nextTo"/>
        <c:crossAx val="137282688"/>
        <c:crosses val="autoZero"/>
        <c:crossBetween val="midCat"/>
        <c:majorUnit val="20"/>
        <c:minorUnit val="4"/>
      </c:valAx>
      <c:valAx>
        <c:axId val="137282688"/>
        <c:scaling>
          <c:orientation val="minMax"/>
          <c:max val="120"/>
          <c:min val="60"/>
        </c:scaling>
        <c:delete val="0"/>
        <c:axPos val="l"/>
        <c:majorGridlines/>
        <c:numFmt formatCode="0.0" sourceLinked="1"/>
        <c:majorTickMark val="out"/>
        <c:minorTickMark val="none"/>
        <c:tickLblPos val="nextTo"/>
        <c:crossAx val="137276800"/>
        <c:crosses val="autoZero"/>
        <c:crossBetween val="midCat"/>
        <c:majorUnit val="20"/>
        <c:minorUnit val="4"/>
      </c:valAx>
    </c:plotArea>
    <c:legend>
      <c:legendPos val="r"/>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3"/>
          <c:order val="0"/>
          <c:spPr>
            <a:ln w="28575">
              <a:noFill/>
            </a:ln>
          </c:spPr>
          <c:marker>
            <c:symbol val="square"/>
            <c:size val="7"/>
            <c:spPr>
              <a:solidFill>
                <a:schemeClr val="accent1"/>
              </a:solidFill>
            </c:spPr>
          </c:marker>
          <c:trendline>
            <c:trendlineType val="linear"/>
            <c:dispRSqr val="1"/>
            <c:dispEq val="1"/>
            <c:trendlineLbl>
              <c:layout>
                <c:manualLayout>
                  <c:x val="0.36665266841644795"/>
                  <c:y val="-2.0489938757655292E-2"/>
                </c:manualLayout>
              </c:layout>
              <c:numFmt formatCode="General" sourceLinked="0"/>
            </c:trendlineLbl>
          </c:trendline>
          <c:xVal>
            <c:numRef>
              <c:f>'Références Récolte Herbe'!$G$54:$G$61</c:f>
            </c:numRef>
          </c:xVal>
          <c:yVal>
            <c:numRef>
              <c:f>'Références Récolte Herbe'!$C$54:$C$61</c:f>
            </c:numRef>
          </c:yVal>
          <c:smooth val="0"/>
          <c:extLst>
            <c:ext xmlns:c16="http://schemas.microsoft.com/office/drawing/2014/chart" uri="{C3380CC4-5D6E-409C-BE32-E72D297353CC}">
              <c16:uniqueId val="{00000001-E9CE-4BE9-A71D-6EB8B946D383}"/>
            </c:ext>
          </c:extLst>
        </c:ser>
        <c:dLbls>
          <c:showLegendKey val="0"/>
          <c:showVal val="0"/>
          <c:showCatName val="0"/>
          <c:showSerName val="0"/>
          <c:showPercent val="0"/>
          <c:showBubbleSize val="0"/>
        </c:dLbls>
        <c:axId val="139019776"/>
        <c:axId val="139021312"/>
      </c:scatterChart>
      <c:valAx>
        <c:axId val="139019776"/>
        <c:scaling>
          <c:orientation val="minMax"/>
        </c:scaling>
        <c:delete val="0"/>
        <c:axPos val="b"/>
        <c:numFmt formatCode="0.0" sourceLinked="1"/>
        <c:majorTickMark val="out"/>
        <c:minorTickMark val="none"/>
        <c:tickLblPos val="nextTo"/>
        <c:crossAx val="139021312"/>
        <c:crosses val="autoZero"/>
        <c:crossBetween val="midCat"/>
      </c:valAx>
      <c:valAx>
        <c:axId val="139021312"/>
        <c:scaling>
          <c:orientation val="minMax"/>
        </c:scaling>
        <c:delete val="0"/>
        <c:axPos val="l"/>
        <c:majorGridlines/>
        <c:numFmt formatCode="0.0" sourceLinked="1"/>
        <c:majorTickMark val="out"/>
        <c:minorTickMark val="none"/>
        <c:tickLblPos val="nextTo"/>
        <c:crossAx val="1390197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44</xdr:col>
      <xdr:colOff>821055</xdr:colOff>
      <xdr:row>0</xdr:row>
      <xdr:rowOff>255210</xdr:rowOff>
    </xdr:from>
    <xdr:to>
      <xdr:col>48</xdr:col>
      <xdr:colOff>151213</xdr:colOff>
      <xdr:row>133</xdr:row>
      <xdr:rowOff>54337</xdr:rowOff>
    </xdr:to>
    <xdr:pic>
      <xdr:nvPicPr>
        <xdr:cNvPr id="7" name="Image 6">
          <a:extLst>
            <a:ext uri="{FF2B5EF4-FFF2-40B4-BE49-F238E27FC236}">
              <a16:creationId xmlns:a16="http://schemas.microsoft.com/office/drawing/2014/main" id="{A6D56F73-9CD8-43BC-BC32-89F3C5A074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329505" y="255210"/>
          <a:ext cx="2035258" cy="7649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455367</xdr:colOff>
      <xdr:row>0</xdr:row>
      <xdr:rowOff>43815</xdr:rowOff>
    </xdr:from>
    <xdr:to>
      <xdr:col>51</xdr:col>
      <xdr:colOff>742355</xdr:colOff>
      <xdr:row>135</xdr:row>
      <xdr:rowOff>89536</xdr:rowOff>
    </xdr:to>
    <xdr:pic>
      <xdr:nvPicPr>
        <xdr:cNvPr id="8" name="Image 7" descr="Une image contenant texte, logo, Police, Graphique&#10;&#10;Description générée automatiquement">
          <a:extLst>
            <a:ext uri="{FF2B5EF4-FFF2-40B4-BE49-F238E27FC236}">
              <a16:creationId xmlns:a16="http://schemas.microsoft.com/office/drawing/2014/main" id="{87FB76C3-A2C0-4271-B4EC-A702430629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640467" y="43815"/>
          <a:ext cx="1157573" cy="1186816"/>
        </a:xfrm>
        <a:prstGeom prst="rect">
          <a:avLst/>
        </a:prstGeom>
      </xdr:spPr>
    </xdr:pic>
    <xdr:clientData/>
  </xdr:twoCellAnchor>
  <xdr:twoCellAnchor editAs="oneCell">
    <xdr:from>
      <xdr:col>48</xdr:col>
      <xdr:colOff>304457</xdr:colOff>
      <xdr:row>0</xdr:row>
      <xdr:rowOff>103775</xdr:rowOff>
    </xdr:from>
    <xdr:to>
      <xdr:col>50</xdr:col>
      <xdr:colOff>362555</xdr:colOff>
      <xdr:row>134</xdr:row>
      <xdr:rowOff>134505</xdr:rowOff>
    </xdr:to>
    <xdr:pic>
      <xdr:nvPicPr>
        <xdr:cNvPr id="9" name="Image 8">
          <a:extLst>
            <a:ext uri="{FF2B5EF4-FFF2-40B4-BE49-F238E27FC236}">
              <a16:creationId xmlns:a16="http://schemas.microsoft.com/office/drawing/2014/main" id="{107EF9C3-B883-4A2F-950E-F8A026D9A955}"/>
            </a:ext>
          </a:extLst>
        </xdr:cNvPr>
        <xdr:cNvPicPr>
          <a:picLocks noChangeAspect="1"/>
        </xdr:cNvPicPr>
      </xdr:nvPicPr>
      <xdr:blipFill>
        <a:blip xmlns:r="http://schemas.openxmlformats.org/officeDocument/2006/relationships" r:embed="rId3" cstate="print"/>
        <a:stretch>
          <a:fillRect/>
        </a:stretch>
      </xdr:blipFill>
      <xdr:spPr>
        <a:xfrm>
          <a:off x="32518007" y="103775"/>
          <a:ext cx="1025838" cy="1050810"/>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38100</xdr:colOff>
      <xdr:row>52</xdr:row>
      <xdr:rowOff>42862</xdr:rowOff>
    </xdr:from>
    <xdr:to>
      <xdr:col>24</xdr:col>
      <xdr:colOff>180975</xdr:colOff>
      <xdr:row>66</xdr:row>
      <xdr:rowOff>119062</xdr:rowOff>
    </xdr:to>
    <xdr:graphicFrame macro="">
      <xdr:nvGraphicFramePr>
        <xdr:cNvPr id="2" name="Graphique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53340</xdr:colOff>
      <xdr:row>36</xdr:row>
      <xdr:rowOff>163830</xdr:rowOff>
    </xdr:from>
    <xdr:to>
      <xdr:col>24</xdr:col>
      <xdr:colOff>99060</xdr:colOff>
      <xdr:row>51</xdr:row>
      <xdr:rowOff>163830</xdr:rowOff>
    </xdr:to>
    <xdr:graphicFrame macro="">
      <xdr:nvGraphicFramePr>
        <xdr:cNvPr id="5" name="Graphique 4">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76200</xdr:colOff>
      <xdr:row>67</xdr:row>
      <xdr:rowOff>34290</xdr:rowOff>
    </xdr:from>
    <xdr:to>
      <xdr:col>24</xdr:col>
      <xdr:colOff>175260</xdr:colOff>
      <xdr:row>82</xdr:row>
      <xdr:rowOff>152400</xdr:rowOff>
    </xdr:to>
    <xdr:graphicFrame macro="">
      <xdr:nvGraphicFramePr>
        <xdr:cNvPr id="8" name="Graphique 7">
          <a:extLst>
            <a:ext uri="{FF2B5EF4-FFF2-40B4-BE49-F238E27FC236}">
              <a16:creationId xmlns:a16="http://schemas.microsoft.com/office/drawing/2014/main" id="{00000000-0008-0000-03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33337</xdr:colOff>
      <xdr:row>0</xdr:row>
      <xdr:rowOff>307657</xdr:rowOff>
    </xdr:from>
    <xdr:to>
      <xdr:col>14</xdr:col>
      <xdr:colOff>491698</xdr:colOff>
      <xdr:row>5</xdr:row>
      <xdr:rowOff>53531</xdr:rowOff>
    </xdr:to>
    <xdr:pic>
      <xdr:nvPicPr>
        <xdr:cNvPr id="2" name="Image 1">
          <a:extLst>
            <a:ext uri="{FF2B5EF4-FFF2-40B4-BE49-F238E27FC236}">
              <a16:creationId xmlns:a16="http://schemas.microsoft.com/office/drawing/2014/main" id="{6C855C77-5AD7-796B-FEE3-DD54009D47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9306" y="307657"/>
          <a:ext cx="2089517" cy="761715"/>
        </a:xfrm>
        <a:prstGeom prst="rect">
          <a:avLst/>
        </a:prstGeom>
      </xdr:spPr>
    </xdr:pic>
    <xdr:clientData/>
  </xdr:twoCellAnchor>
  <xdr:twoCellAnchor editAs="oneCell">
    <xdr:from>
      <xdr:col>16</xdr:col>
      <xdr:colOff>755495</xdr:colOff>
      <xdr:row>0</xdr:row>
      <xdr:rowOff>75855</xdr:rowOff>
    </xdr:from>
    <xdr:to>
      <xdr:col>17</xdr:col>
      <xdr:colOff>1051532</xdr:colOff>
      <xdr:row>6</xdr:row>
      <xdr:rowOff>75856</xdr:rowOff>
    </xdr:to>
    <xdr:pic>
      <xdr:nvPicPr>
        <xdr:cNvPr id="9" name="Image 8" descr="Une image contenant texte, logo, Police, Graphique&#10;&#10;Description générée automatiquement">
          <a:extLst>
            <a:ext uri="{FF2B5EF4-FFF2-40B4-BE49-F238E27FC236}">
              <a16:creationId xmlns:a16="http://schemas.microsoft.com/office/drawing/2014/main" id="{8D64C3BE-08A5-1A93-F103-B69728D0ED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33220" y="75855"/>
          <a:ext cx="1170432" cy="1200151"/>
        </a:xfrm>
        <a:prstGeom prst="rect">
          <a:avLst/>
        </a:prstGeom>
      </xdr:spPr>
    </xdr:pic>
    <xdr:clientData/>
  </xdr:twoCellAnchor>
  <xdr:twoCellAnchor editAs="oneCell">
    <xdr:from>
      <xdr:col>14</xdr:col>
      <xdr:colOff>607919</xdr:colOff>
      <xdr:row>0</xdr:row>
      <xdr:rowOff>132005</xdr:rowOff>
    </xdr:from>
    <xdr:to>
      <xdr:col>16</xdr:col>
      <xdr:colOff>668398</xdr:colOff>
      <xdr:row>5</xdr:row>
      <xdr:rowOff>170784</xdr:rowOff>
    </xdr:to>
    <xdr:pic>
      <xdr:nvPicPr>
        <xdr:cNvPr id="10" name="Image 9">
          <a:extLst>
            <a:ext uri="{FF2B5EF4-FFF2-40B4-BE49-F238E27FC236}">
              <a16:creationId xmlns:a16="http://schemas.microsoft.com/office/drawing/2014/main" id="{5519C86A-94CE-8808-6B51-821295FA561A}"/>
            </a:ext>
          </a:extLst>
        </xdr:cNvPr>
        <xdr:cNvPicPr>
          <a:picLocks noChangeAspect="1"/>
        </xdr:cNvPicPr>
      </xdr:nvPicPr>
      <xdr:blipFill>
        <a:blip xmlns:r="http://schemas.openxmlformats.org/officeDocument/2006/relationships" r:embed="rId3" cstate="print"/>
        <a:stretch>
          <a:fillRect/>
        </a:stretch>
      </xdr:blipFill>
      <xdr:spPr>
        <a:xfrm>
          <a:off x="11895044" y="132005"/>
          <a:ext cx="1047269" cy="1061764"/>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755495</xdr:colOff>
      <xdr:row>0</xdr:row>
      <xdr:rowOff>75855</xdr:rowOff>
    </xdr:from>
    <xdr:to>
      <xdr:col>17</xdr:col>
      <xdr:colOff>1045817</xdr:colOff>
      <xdr:row>7</xdr:row>
      <xdr:rowOff>16801</xdr:rowOff>
    </xdr:to>
    <xdr:pic>
      <xdr:nvPicPr>
        <xdr:cNvPr id="3" name="Image 2" descr="Une image contenant texte, logo, Police, Graphique&#10;&#10;Description générée automatiquement">
          <a:extLst>
            <a:ext uri="{FF2B5EF4-FFF2-40B4-BE49-F238E27FC236}">
              <a16:creationId xmlns:a16="http://schemas.microsoft.com/office/drawing/2014/main" id="{E037F104-486D-432B-B152-B0DEEE980E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31315" y="75855"/>
          <a:ext cx="1164717" cy="1200151"/>
        </a:xfrm>
        <a:prstGeom prst="rect">
          <a:avLst/>
        </a:prstGeom>
      </xdr:spPr>
    </xdr:pic>
    <xdr:clientData/>
  </xdr:twoCellAnchor>
  <xdr:twoCellAnchor editAs="oneCell">
    <xdr:from>
      <xdr:col>14</xdr:col>
      <xdr:colOff>607919</xdr:colOff>
      <xdr:row>0</xdr:row>
      <xdr:rowOff>132005</xdr:rowOff>
    </xdr:from>
    <xdr:to>
      <xdr:col>16</xdr:col>
      <xdr:colOff>668398</xdr:colOff>
      <xdr:row>6</xdr:row>
      <xdr:rowOff>94584</xdr:rowOff>
    </xdr:to>
    <xdr:pic>
      <xdr:nvPicPr>
        <xdr:cNvPr id="4" name="Image 3">
          <a:extLst>
            <a:ext uri="{FF2B5EF4-FFF2-40B4-BE49-F238E27FC236}">
              <a16:creationId xmlns:a16="http://schemas.microsoft.com/office/drawing/2014/main" id="{EDD8A509-B81C-421D-8D5B-3DA8001840D6}"/>
            </a:ext>
          </a:extLst>
        </xdr:cNvPr>
        <xdr:cNvPicPr>
          <a:picLocks noChangeAspect="1"/>
        </xdr:cNvPicPr>
      </xdr:nvPicPr>
      <xdr:blipFill>
        <a:blip xmlns:r="http://schemas.openxmlformats.org/officeDocument/2006/relationships" r:embed="rId2" cstate="print"/>
        <a:stretch>
          <a:fillRect/>
        </a:stretch>
      </xdr:blipFill>
      <xdr:spPr>
        <a:xfrm>
          <a:off x="11895044" y="135815"/>
          <a:ext cx="1051079" cy="1054144"/>
        </a:xfrm>
        <a:prstGeom prst="rect">
          <a:avLst/>
        </a:prstGeom>
        <a:solidFill>
          <a:schemeClr val="bg1"/>
        </a:solidFill>
      </xdr:spPr>
    </xdr:pic>
    <xdr:clientData/>
  </xdr:twoCellAnchor>
  <xdr:twoCellAnchor editAs="oneCell">
    <xdr:from>
      <xdr:col>11</xdr:col>
      <xdr:colOff>43815</xdr:colOff>
      <xdr:row>1</xdr:row>
      <xdr:rowOff>56515</xdr:rowOff>
    </xdr:from>
    <xdr:to>
      <xdr:col>14</xdr:col>
      <xdr:colOff>477887</xdr:colOff>
      <xdr:row>5</xdr:row>
      <xdr:rowOff>110840</xdr:rowOff>
    </xdr:to>
    <xdr:pic>
      <xdr:nvPicPr>
        <xdr:cNvPr id="5" name="Image 4">
          <a:extLst>
            <a:ext uri="{FF2B5EF4-FFF2-40B4-BE49-F238E27FC236}">
              <a16:creationId xmlns:a16="http://schemas.microsoft.com/office/drawing/2014/main" id="{B470EBCE-D56C-4654-B8DD-5C0B1F2FAE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670415" y="374015"/>
          <a:ext cx="2076182" cy="7655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9"/>
  <sheetViews>
    <sheetView topLeftCell="A98" workbookViewId="0">
      <pane xSplit="4" topLeftCell="E1" activePane="topRight" state="frozen"/>
      <selection pane="topRight" activeCell="A98" sqref="A1:XFD1048576"/>
    </sheetView>
  </sheetViews>
  <sheetFormatPr baseColWidth="10" defaultRowHeight="14.4" x14ac:dyDescent="0.3"/>
  <cols>
    <col min="2" max="2" width="29.88671875" bestFit="1" customWidth="1"/>
    <col min="3" max="3" width="33.77734375" bestFit="1" customWidth="1"/>
    <col min="4" max="4" width="27.77734375" bestFit="1" customWidth="1"/>
    <col min="5" max="13" width="8.6640625" customWidth="1"/>
    <col min="14" max="14" width="11.6640625" customWidth="1"/>
    <col min="15" max="15" width="10.6640625" customWidth="1"/>
    <col min="16" max="16" width="8.6640625" customWidth="1"/>
    <col min="18" max="18" width="11.5546875" style="542"/>
    <col min="20" max="20" width="11.5546875" style="542"/>
    <col min="22" max="22" width="11.5546875" style="542"/>
    <col min="24" max="24" width="11.5546875" style="542"/>
    <col min="26" max="26" width="11.5546875" style="542"/>
    <col min="28" max="28" width="11.5546875" style="542"/>
    <col min="30" max="30" width="11.5546875" style="542"/>
    <col min="32" max="32" width="11.5546875" style="542"/>
    <col min="34" max="34" width="11.5546875" style="542"/>
  </cols>
  <sheetData>
    <row r="1" spans="1:34" hidden="1" x14ac:dyDescent="0.3"/>
    <row r="2" spans="1:34" hidden="1" x14ac:dyDescent="0.3"/>
    <row r="3" spans="1:34" hidden="1" x14ac:dyDescent="0.3"/>
    <row r="4" spans="1:34" hidden="1" x14ac:dyDescent="0.3"/>
    <row r="5" spans="1:34" ht="243.6" hidden="1" x14ac:dyDescent="0.3">
      <c r="E5" s="140" t="s">
        <v>21</v>
      </c>
      <c r="F5" s="140" t="s">
        <v>23</v>
      </c>
      <c r="G5" s="140" t="s">
        <v>26</v>
      </c>
      <c r="H5" s="140" t="s">
        <v>29</v>
      </c>
      <c r="I5" s="140" t="s">
        <v>30</v>
      </c>
      <c r="J5" s="140" t="s">
        <v>32</v>
      </c>
      <c r="K5" s="140" t="s">
        <v>35</v>
      </c>
      <c r="L5" s="140" t="s">
        <v>255</v>
      </c>
      <c r="M5" s="140" t="s">
        <v>37</v>
      </c>
      <c r="N5" s="140" t="s">
        <v>164</v>
      </c>
      <c r="O5" s="140" t="s">
        <v>42</v>
      </c>
      <c r="P5" s="140" t="s">
        <v>44</v>
      </c>
      <c r="Q5" s="140" t="s">
        <v>49</v>
      </c>
      <c r="R5" s="543"/>
      <c r="S5" s="140" t="s">
        <v>54</v>
      </c>
      <c r="T5" s="543"/>
      <c r="U5" s="140" t="s">
        <v>57</v>
      </c>
      <c r="V5" s="543"/>
      <c r="W5" s="140" t="s">
        <v>165</v>
      </c>
      <c r="X5" s="543"/>
      <c r="Y5" s="140" t="s">
        <v>67</v>
      </c>
      <c r="Z5" s="543"/>
      <c r="AA5" s="140" t="s">
        <v>70</v>
      </c>
      <c r="AB5" s="543"/>
      <c r="AC5" s="140" t="s">
        <v>79</v>
      </c>
      <c r="AD5" s="543"/>
      <c r="AE5" s="140" t="s">
        <v>355</v>
      </c>
      <c r="AF5" s="543"/>
      <c r="AG5" s="140" t="s">
        <v>85</v>
      </c>
    </row>
    <row r="6" spans="1:34" hidden="1" x14ac:dyDescent="0.3">
      <c r="A6" s="2">
        <v>1</v>
      </c>
      <c r="B6" t="str">
        <f>'Références Mécanisation'!B7</f>
        <v>Grandes cultures</v>
      </c>
      <c r="C6" t="str">
        <f>'Références Mécanisation'!B8</f>
        <v>&amp; faible potentiel / labour</v>
      </c>
      <c r="D6" t="str">
        <f>'Références Mécanisation'!B9</f>
        <v>Plateaux de Bourgogne</v>
      </c>
      <c r="E6" s="139" t="str">
        <f>'Références Mécanisation'!C14</f>
        <v>&gt; 95</v>
      </c>
      <c r="F6" s="139" t="str">
        <f>'Références Mécanisation'!C15</f>
        <v>25 à 40</v>
      </c>
      <c r="G6" s="139" t="str">
        <f>'Références Mécanisation'!C16</f>
        <v>&lt; 70</v>
      </c>
      <c r="H6" s="139" t="str">
        <f>'Références Mécanisation'!C17</f>
        <v>ND</v>
      </c>
      <c r="I6" s="139" t="str">
        <f>'Références Mécanisation'!C19</f>
        <v>ND</v>
      </c>
      <c r="J6" s="139" t="str">
        <f>'Références Mécanisation'!C20</f>
        <v>ND</v>
      </c>
      <c r="K6" s="139" t="str">
        <f>'Références Mécanisation'!C21</f>
        <v>ND</v>
      </c>
      <c r="L6" s="139" t="str">
        <f>'Références Mécanisation'!C22</f>
        <v>ND</v>
      </c>
      <c r="M6" s="139" t="str">
        <f>'Références Mécanisation'!C23</f>
        <v>ND</v>
      </c>
      <c r="N6" s="139" t="str">
        <f>'Références Mécanisation'!C24</f>
        <v>1 000 à 1 300</v>
      </c>
      <c r="O6" s="139" t="str">
        <f>'Références Mécanisation'!C27</f>
        <v>145 à 200</v>
      </c>
      <c r="P6" s="139" t="str">
        <f>'Références Mécanisation'!C30</f>
        <v>&lt; 10</v>
      </c>
      <c r="Q6" s="141">
        <f>'Références Mécanisation'!C38</f>
        <v>2.4</v>
      </c>
      <c r="R6" s="544">
        <f>'Références Mécanisation'!C39</f>
        <v>2</v>
      </c>
      <c r="S6" s="541">
        <f>'Références Mécanisation'!C43</f>
        <v>300</v>
      </c>
      <c r="T6" s="545">
        <f>'Références Mécanisation'!C44</f>
        <v>350</v>
      </c>
      <c r="U6" s="141">
        <f>'Références Mécanisation'!C45</f>
        <v>5.5</v>
      </c>
      <c r="V6" s="544">
        <f>'Références Mécanisation'!C46</f>
        <v>5</v>
      </c>
      <c r="W6" s="141">
        <f>'Références Mécanisation'!C56</f>
        <v>1.2</v>
      </c>
      <c r="X6" s="544">
        <f>'Références Mécanisation'!C57</f>
        <v>1.1000000000000001</v>
      </c>
      <c r="Y6" s="139">
        <f>'Références Mécanisation'!C63</f>
        <v>85</v>
      </c>
      <c r="Z6" s="545">
        <f>'Références Mécanisation'!C64</f>
        <v>75</v>
      </c>
      <c r="AA6" s="139">
        <f>'Références Mécanisation'!C66</f>
        <v>85</v>
      </c>
      <c r="AB6" s="546">
        <f>'Références Mécanisation'!C67</f>
        <v>75</v>
      </c>
      <c r="AC6" s="139">
        <f>'Références Mécanisation'!C77</f>
        <v>75</v>
      </c>
      <c r="AD6" s="546">
        <f>'Références Mécanisation'!C78</f>
        <v>45</v>
      </c>
      <c r="AE6" s="567">
        <f>'Références Mécanisation'!C90</f>
        <v>250</v>
      </c>
      <c r="AF6" s="568">
        <f>'Références Mécanisation'!C91</f>
        <v>165</v>
      </c>
      <c r="AG6" s="141">
        <f>'Références Mécanisation'!C96</f>
        <v>0.8</v>
      </c>
      <c r="AH6" s="548">
        <f>'Références Mécanisation'!C97</f>
        <v>0.5</v>
      </c>
    </row>
    <row r="7" spans="1:34" hidden="1" x14ac:dyDescent="0.3">
      <c r="A7">
        <v>2</v>
      </c>
      <c r="B7" t="str">
        <f>'Références Mécanisation'!E7</f>
        <v>Grandes cultures</v>
      </c>
      <c r="C7" t="str">
        <f>'Références Mécanisation'!E8</f>
        <v>&amp; faible potentiel / non-labour</v>
      </c>
      <c r="D7" t="str">
        <f>'Références Mécanisation'!E9</f>
        <v>Plateaux de Bourgogne</v>
      </c>
      <c r="E7" s="139" t="str">
        <f>'Références Mécanisation'!$F14</f>
        <v>&gt; 95</v>
      </c>
      <c r="F7" s="139" t="str">
        <f>'Références Mécanisation'!$F15</f>
        <v>&lt; 25</v>
      </c>
      <c r="G7" s="139" t="str">
        <f>'Références Mécanisation'!$F16</f>
        <v>&lt; 60</v>
      </c>
      <c r="H7" s="139" t="str">
        <f>'Références Mécanisation'!$F17</f>
        <v>ND</v>
      </c>
      <c r="I7" s="139" t="str">
        <f>'Références Mécanisation'!$F19</f>
        <v>ND</v>
      </c>
      <c r="J7" s="139" t="str">
        <f>'Références Mécanisation'!$F20</f>
        <v>ND</v>
      </c>
      <c r="K7" s="139" t="str">
        <f>'Références Mécanisation'!$F21</f>
        <v>ND</v>
      </c>
      <c r="L7" s="139" t="str">
        <f>'Références Mécanisation'!F22</f>
        <v>ND</v>
      </c>
      <c r="M7" s="139" t="str">
        <f>'Références Mécanisation'!$F23</f>
        <v>ND</v>
      </c>
      <c r="N7" s="139" t="str">
        <f>'Références Mécanisation'!$F24</f>
        <v>1 000 à 1 200</v>
      </c>
      <c r="O7" s="139" t="str">
        <f>'Références Mécanisation'!$F27</f>
        <v>200 à 250</v>
      </c>
      <c r="P7" s="139" t="str">
        <f>'Références Mécanisation'!$F30</f>
        <v>&lt; 10</v>
      </c>
      <c r="Q7" s="141">
        <f>'Références Mécanisation'!$F38</f>
        <v>2</v>
      </c>
      <c r="R7" s="544">
        <f>'Références Mécanisation'!F39</f>
        <v>1.7</v>
      </c>
      <c r="S7" s="139">
        <f>'Références Mécanisation'!$F43</f>
        <v>275</v>
      </c>
      <c r="T7" s="545">
        <f>'Références Mécanisation'!F44</f>
        <v>325</v>
      </c>
      <c r="U7" s="141">
        <f>'Références Mécanisation'!$F45</f>
        <v>4.5</v>
      </c>
      <c r="V7" s="544">
        <f>'Références Mécanisation'!F46</f>
        <v>4</v>
      </c>
      <c r="W7" s="141">
        <f>'Références Mécanisation'!$F56</f>
        <v>1.1000000000000001</v>
      </c>
      <c r="X7" s="544">
        <f>'Références Mécanisation'!F57</f>
        <v>1</v>
      </c>
      <c r="Y7" s="139">
        <f>'Références Mécanisation'!$F63</f>
        <v>65</v>
      </c>
      <c r="Z7" s="545">
        <f>'Références Mécanisation'!F64</f>
        <v>60</v>
      </c>
      <c r="AA7" s="139">
        <f>'Références Mécanisation'!$F66</f>
        <v>65</v>
      </c>
      <c r="AB7" s="546">
        <f>'Références Mécanisation'!F67</f>
        <v>60</v>
      </c>
      <c r="AC7" s="139">
        <f>'Références Mécanisation'!$F77</f>
        <v>65</v>
      </c>
      <c r="AD7" s="546">
        <f>'Références Mécanisation'!F78</f>
        <v>55</v>
      </c>
      <c r="AE7" s="567">
        <f>'Références Mécanisation'!$F90</f>
        <v>190</v>
      </c>
      <c r="AF7" s="568">
        <f>'Références Mécanisation'!F91</f>
        <v>135</v>
      </c>
      <c r="AG7" s="141">
        <f>'Références Mécanisation'!$F96</f>
        <v>0.6</v>
      </c>
      <c r="AH7" s="548">
        <f>'Références Mécanisation'!F97</f>
        <v>0.4</v>
      </c>
    </row>
    <row r="8" spans="1:34" hidden="1" x14ac:dyDescent="0.3">
      <c r="A8">
        <v>3</v>
      </c>
      <c r="B8" t="str">
        <f>'Références Mécanisation'!K7</f>
        <v>Grandes cultures</v>
      </c>
      <c r="C8" t="str">
        <f>'Références Mécanisation'!K8</f>
        <v>&amp; fort potentiel</v>
      </c>
      <c r="D8" t="str">
        <f>'Références Mécanisation'!K9</f>
        <v>Zones de Plaines, Vallées</v>
      </c>
      <c r="E8" s="139" t="str">
        <f>'Références Mécanisation'!$L14</f>
        <v>&gt; 95</v>
      </c>
      <c r="F8" s="139" t="str">
        <f>'Références Mécanisation'!$L15</f>
        <v>&gt; 50</v>
      </c>
      <c r="G8" s="139" t="str">
        <f>'Références Mécanisation'!$L16</f>
        <v>&gt; 70</v>
      </c>
      <c r="H8" s="139" t="str">
        <f>'Références Mécanisation'!$L17</f>
        <v>ND</v>
      </c>
      <c r="I8" s="139" t="str">
        <f>'Références Mécanisation'!$L19</f>
        <v>ND</v>
      </c>
      <c r="J8" s="139" t="str">
        <f>'Références Mécanisation'!$L20</f>
        <v>ND</v>
      </c>
      <c r="K8" s="139" t="str">
        <f>'Références Mécanisation'!$L21</f>
        <v>ND</v>
      </c>
      <c r="L8" s="139" t="str">
        <f>'Références Mécanisation'!L22</f>
        <v>ND</v>
      </c>
      <c r="M8" s="139" t="str">
        <f>'Références Mécanisation'!$L23</f>
        <v>ND</v>
      </c>
      <c r="N8" s="139" t="str">
        <f>'Références Mécanisation'!$L24</f>
        <v>1 200 à 1 650</v>
      </c>
      <c r="O8" s="139" t="str">
        <f>'Références Mécanisation'!$L27</f>
        <v>120 à 180</v>
      </c>
      <c r="P8" s="139" t="str">
        <f>'Références Mécanisation'!$L30</f>
        <v>&lt; 30</v>
      </c>
      <c r="Q8" s="141">
        <f>'Références Mécanisation'!$L38</f>
        <v>2.8</v>
      </c>
      <c r="R8" s="544">
        <f>'Références Mécanisation'!L39</f>
        <v>2.2999999999999998</v>
      </c>
      <c r="S8" s="139">
        <f>'Références Mécanisation'!$L43</f>
        <v>300</v>
      </c>
      <c r="T8" s="545">
        <f>'Références Mécanisation'!L44</f>
        <v>350</v>
      </c>
      <c r="U8" s="141">
        <f>'Références Mécanisation'!$L45</f>
        <v>6.8</v>
      </c>
      <c r="V8" s="544">
        <f>'Références Mécanisation'!L46</f>
        <v>5.6</v>
      </c>
      <c r="W8" s="141">
        <f>'Références Mécanisation'!$L56</f>
        <v>1.4</v>
      </c>
      <c r="X8" s="544">
        <f>'Références Mécanisation'!L57</f>
        <v>1.2</v>
      </c>
      <c r="Y8" s="139">
        <f>'Références Mécanisation'!$L63</f>
        <v>95</v>
      </c>
      <c r="Z8" s="545">
        <f>'Références Mécanisation'!L64</f>
        <v>85</v>
      </c>
      <c r="AA8" s="139">
        <f>'Références Mécanisation'!$L66</f>
        <v>95</v>
      </c>
      <c r="AB8" s="546">
        <f>'Références Mécanisation'!L67</f>
        <v>85</v>
      </c>
      <c r="AC8" s="139">
        <f>'Références Mécanisation'!$L77</f>
        <v>80</v>
      </c>
      <c r="AD8" s="546">
        <f>'Références Mécanisation'!L78</f>
        <v>50</v>
      </c>
      <c r="AE8" s="567">
        <f>'Références Mécanisation'!$L90</f>
        <v>250</v>
      </c>
      <c r="AF8" s="568">
        <f>'Références Mécanisation'!L91</f>
        <v>210</v>
      </c>
      <c r="AG8" s="141">
        <f>'Références Mécanisation'!$L96</f>
        <v>0.6</v>
      </c>
      <c r="AH8" s="548">
        <f>'Références Mécanisation'!L97</f>
        <v>0.5</v>
      </c>
    </row>
    <row r="9" spans="1:34" hidden="1" x14ac:dyDescent="0.3">
      <c r="A9">
        <v>4</v>
      </c>
      <c r="B9" t="str">
        <f>'Références Mécanisation'!Q7</f>
        <v>Grandes cultures</v>
      </c>
      <c r="C9" t="str">
        <f>'Références Mécanisation'!Q8</f>
        <v>+ BS / cultures industrielles</v>
      </c>
      <c r="D9" t="str">
        <f>'Références Mécanisation'!Q9</f>
        <v>Zones de Plaines, Vallées</v>
      </c>
      <c r="E9" s="139" t="str">
        <f>'Références Mécanisation'!$R14</f>
        <v>&gt; 95</v>
      </c>
      <c r="F9" s="139" t="str">
        <f>'Références Mécanisation'!$R15</f>
        <v>&gt; 50</v>
      </c>
      <c r="G9" s="139" t="str">
        <f>'Références Mécanisation'!$R16</f>
        <v>&gt; 70</v>
      </c>
      <c r="H9" s="139" t="str">
        <f>'Références Mécanisation'!$R17</f>
        <v>&gt; 5</v>
      </c>
      <c r="I9" s="139" t="str">
        <f>'Références Mécanisation'!$R19</f>
        <v>ND</v>
      </c>
      <c r="J9" s="139" t="str">
        <f>'Références Mécanisation'!$R20</f>
        <v>ND</v>
      </c>
      <c r="K9" s="139" t="str">
        <f>'Références Mécanisation'!$R21</f>
        <v>ND</v>
      </c>
      <c r="L9" s="139" t="str">
        <f>'Références Mécanisation'!R22</f>
        <v>ND</v>
      </c>
      <c r="M9" s="139" t="str">
        <f>'Références Mécanisation'!$R23</f>
        <v>ND</v>
      </c>
      <c r="N9" s="139" t="str">
        <f>'Références Mécanisation'!$R24</f>
        <v>1 400 à 1 800</v>
      </c>
      <c r="O9" s="139" t="str">
        <f>'Références Mécanisation'!$R27</f>
        <v>120 à 180</v>
      </c>
      <c r="P9" s="139" t="str">
        <f>'Références Mécanisation'!$R30</f>
        <v>&lt; 30</v>
      </c>
      <c r="Q9" s="141">
        <f>'Références Mécanisation'!$R38</f>
        <v>2.8</v>
      </c>
      <c r="R9" s="544">
        <f>'Références Mécanisation'!R39</f>
        <v>2.2999999999999998</v>
      </c>
      <c r="S9" s="139">
        <f>'Références Mécanisation'!$R43</f>
        <v>300</v>
      </c>
      <c r="T9" s="545">
        <f>'Références Mécanisation'!R44</f>
        <v>350</v>
      </c>
      <c r="U9" s="141">
        <f>'Références Mécanisation'!$R45</f>
        <v>6.5</v>
      </c>
      <c r="V9" s="544">
        <f>'Références Mécanisation'!R46</f>
        <v>5.5</v>
      </c>
      <c r="W9" s="141">
        <f>'Références Mécanisation'!$R56</f>
        <v>1.4</v>
      </c>
      <c r="X9" s="544">
        <f>'Références Mécanisation'!R57</f>
        <v>1.2</v>
      </c>
      <c r="Y9" s="139">
        <f>'Références Mécanisation'!$R63</f>
        <v>105</v>
      </c>
      <c r="Z9" s="545">
        <f>'Références Mécanisation'!R64</f>
        <v>95</v>
      </c>
      <c r="AA9" s="139">
        <f>'Références Mécanisation'!$R66</f>
        <v>105</v>
      </c>
      <c r="AB9" s="546">
        <f>'Références Mécanisation'!R67</f>
        <v>95</v>
      </c>
      <c r="AC9" s="139">
        <f>'Références Mécanisation'!$R77</f>
        <v>90</v>
      </c>
      <c r="AD9" s="546">
        <f>'Références Mécanisation'!R78</f>
        <v>80</v>
      </c>
      <c r="AE9" s="567">
        <f>'Références Mécanisation'!$R90</f>
        <v>285</v>
      </c>
      <c r="AF9" s="568">
        <f>'Références Mécanisation'!R91</f>
        <v>240</v>
      </c>
      <c r="AG9" s="141">
        <f>'Références Mécanisation'!$R96</f>
        <v>0.6</v>
      </c>
      <c r="AH9" s="548">
        <f>'Références Mécanisation'!R97</f>
        <v>0.5</v>
      </c>
    </row>
    <row r="10" spans="1:34" hidden="1" x14ac:dyDescent="0.3">
      <c r="A10">
        <v>5</v>
      </c>
      <c r="B10" t="str">
        <f>'Références Mécanisation'!Z7</f>
        <v>Grandes cultures</v>
      </c>
      <c r="C10" t="str">
        <f>'Références Mécanisation'!Z8</f>
        <v>+ cultures particulières</v>
      </c>
      <c r="D10" t="str">
        <f>'Références Mécanisation'!Z9</f>
        <v>(petits fruits, porte-graines, …)</v>
      </c>
      <c r="E10" s="139" t="str">
        <f>'Références Mécanisation'!$AA14</f>
        <v>&gt; 90</v>
      </c>
      <c r="F10" s="139" t="str">
        <f>'Références Mécanisation'!$AA15</f>
        <v>&gt; 50</v>
      </c>
      <c r="G10" s="139" t="str">
        <f>'Références Mécanisation'!$AA16</f>
        <v>&lt; 70</v>
      </c>
      <c r="H10" s="139" t="str">
        <f>'Références Mécanisation'!$AA17</f>
        <v>ND</v>
      </c>
      <c r="I10" s="139" t="str">
        <f>'Références Mécanisation'!$AA19</f>
        <v>ND</v>
      </c>
      <c r="J10" s="139" t="str">
        <f>'Références Mécanisation'!$AA20</f>
        <v>ND</v>
      </c>
      <c r="K10" s="139" t="str">
        <f>'Références Mécanisation'!$AA21</f>
        <v>ND</v>
      </c>
      <c r="L10" s="139" t="str">
        <f>'Références Mécanisation'!AA22</f>
        <v>ND</v>
      </c>
      <c r="M10" s="139" t="str">
        <f>'Références Mécanisation'!$AA23</f>
        <v>ND</v>
      </c>
      <c r="N10" s="139" t="str">
        <f>'Références Mécanisation'!$AA24</f>
        <v>1 250 à 1 400</v>
      </c>
      <c r="O10" s="139" t="str">
        <f>'Références Mécanisation'!$AA27</f>
        <v>80 à 140</v>
      </c>
      <c r="P10" s="139" t="str">
        <f>'Références Mécanisation'!$AA30</f>
        <v>10 à 30</v>
      </c>
      <c r="Q10" s="141">
        <f>'Références Mécanisation'!$AA38</f>
        <v>2.4</v>
      </c>
      <c r="R10" s="544">
        <f>'Références Mécanisation'!AA39</f>
        <v>2</v>
      </c>
      <c r="S10" s="139">
        <f>'Références Mécanisation'!$AA43</f>
        <v>375</v>
      </c>
      <c r="T10" s="545">
        <f>'Références Mécanisation'!AA44</f>
        <v>425</v>
      </c>
      <c r="U10" s="141">
        <f>'Références Mécanisation'!$AA45</f>
        <v>7.2</v>
      </c>
      <c r="V10" s="544">
        <f>'Références Mécanisation'!AA46</f>
        <v>6</v>
      </c>
      <c r="W10" s="141">
        <f>'Références Mécanisation'!$AA56</f>
        <v>1.2</v>
      </c>
      <c r="X10" s="544">
        <f>'Références Mécanisation'!AA57</f>
        <v>1.1000000000000001</v>
      </c>
      <c r="Y10" s="139">
        <f>'Références Mécanisation'!$AA63</f>
        <v>80</v>
      </c>
      <c r="Z10" s="545">
        <f>'Références Mécanisation'!AA64</f>
        <v>65</v>
      </c>
      <c r="AA10" s="139">
        <f>'Références Mécanisation'!$AA66</f>
        <v>80</v>
      </c>
      <c r="AB10" s="546">
        <f>'Références Mécanisation'!AA67</f>
        <v>65</v>
      </c>
      <c r="AC10" s="139">
        <f>'Références Mécanisation'!$AA77</f>
        <v>75</v>
      </c>
      <c r="AD10" s="546">
        <f>'Références Mécanisation'!AA78</f>
        <v>45</v>
      </c>
      <c r="AE10" s="567">
        <f>'Références Mécanisation'!$AA90</f>
        <v>200</v>
      </c>
      <c r="AF10" s="568">
        <f>'Références Mécanisation'!AA91</f>
        <v>170</v>
      </c>
      <c r="AG10" s="141">
        <f>'Références Mécanisation'!$AA96</f>
        <v>0.5</v>
      </c>
      <c r="AH10" s="548">
        <f>'Références Mécanisation'!AA97</f>
        <v>0.5</v>
      </c>
    </row>
    <row r="11" spans="1:34" hidden="1" x14ac:dyDescent="0.3">
      <c r="A11">
        <v>6</v>
      </c>
      <c r="B11" t="str">
        <f>'Références Mécanisation'!AC7</f>
        <v>Grandes cultures</v>
      </c>
      <c r="C11" t="str">
        <f>'Références Mécanisation'!AC8</f>
        <v>+ atelier hors-sol</v>
      </c>
      <c r="D11" t="str">
        <f>'Références Mécanisation'!AC9</f>
        <v>(porcs ou volailles) ou vigne</v>
      </c>
      <c r="E11" s="139" t="str">
        <f>'Références Mécanisation'!$AD14</f>
        <v>&gt; 90</v>
      </c>
      <c r="F11" s="139" t="str">
        <f>'Références Mécanisation'!$AD15</f>
        <v>&gt; 50</v>
      </c>
      <c r="G11" s="139" t="str">
        <f>'Références Mécanisation'!$AD16</f>
        <v>&lt; 70</v>
      </c>
      <c r="H11" s="139" t="str">
        <f>'Références Mécanisation'!$AD17</f>
        <v>ND</v>
      </c>
      <c r="I11" s="139" t="str">
        <f>'Références Mécanisation'!$AD19</f>
        <v>ND</v>
      </c>
      <c r="J11" s="139" t="str">
        <f>'Références Mécanisation'!$AD20</f>
        <v>ND</v>
      </c>
      <c r="K11" s="139" t="str">
        <f>'Références Mécanisation'!$AD21</f>
        <v>ND</v>
      </c>
      <c r="L11" s="139" t="str">
        <f>'Références Mécanisation'!AD22</f>
        <v>ND</v>
      </c>
      <c r="M11" s="139" t="str">
        <f>'Références Mécanisation'!$AD23</f>
        <v>0 à 20</v>
      </c>
      <c r="N11" s="139" t="str">
        <f>'Références Mécanisation'!$AD24</f>
        <v>1 600 à 2 000</v>
      </c>
      <c r="O11" s="139" t="str">
        <f>'Références Mécanisation'!$AD27</f>
        <v>75 à 100</v>
      </c>
      <c r="P11" s="139" t="str">
        <f>'Références Mécanisation'!$AD30</f>
        <v>15 à 25</v>
      </c>
      <c r="Q11" s="141">
        <f>'Références Mécanisation'!$AD38</f>
        <v>3.1</v>
      </c>
      <c r="R11" s="544">
        <f>'Références Mécanisation'!AD39</f>
        <v>2.6</v>
      </c>
      <c r="S11" s="139">
        <f>'Références Mécanisation'!$AD43</f>
        <v>350</v>
      </c>
      <c r="T11" s="545">
        <f>'Références Mécanisation'!AD44</f>
        <v>400</v>
      </c>
      <c r="U11" s="141">
        <f>'Références Mécanisation'!$AD45</f>
        <v>7.6</v>
      </c>
      <c r="V11" s="544">
        <f>'Références Mécanisation'!AD46</f>
        <v>5.8</v>
      </c>
      <c r="W11" s="141">
        <f>'Références Mécanisation'!$AD56</f>
        <v>1.2</v>
      </c>
      <c r="X11" s="544">
        <f>'Références Mécanisation'!AD57</f>
        <v>1.1000000000000001</v>
      </c>
      <c r="Y11" s="139">
        <f>'Références Mécanisation'!$AD63</f>
        <v>110</v>
      </c>
      <c r="Z11" s="545">
        <f>'Références Mécanisation'!AD64</f>
        <v>100</v>
      </c>
      <c r="AA11" s="139">
        <f>'Références Mécanisation'!$AD66</f>
        <v>110</v>
      </c>
      <c r="AB11" s="546">
        <f>'Références Mécanisation'!AD67</f>
        <v>100</v>
      </c>
      <c r="AC11" s="139">
        <f>'Références Mécanisation'!$AD77</f>
        <v>90</v>
      </c>
      <c r="AD11" s="546">
        <f>'Références Mécanisation'!AD78</f>
        <v>65</v>
      </c>
      <c r="AE11" s="567">
        <f>'Références Mécanisation'!$AD90</f>
        <v>190</v>
      </c>
      <c r="AF11" s="568">
        <f>'Références Mécanisation'!AD91</f>
        <v>170</v>
      </c>
      <c r="AG11" s="141">
        <f>'Références Mécanisation'!$AD96</f>
        <v>0.4</v>
      </c>
      <c r="AH11" s="548">
        <f>'Références Mécanisation'!AD97</f>
        <v>0.4</v>
      </c>
    </row>
    <row r="12" spans="1:34" hidden="1" x14ac:dyDescent="0.3">
      <c r="A12">
        <v>7</v>
      </c>
      <c r="B12" t="str">
        <f>'Références Mécanisation'!T7</f>
        <v>Grandes cultures</v>
      </c>
      <c r="C12" t="str">
        <f>'Références Mécanisation'!T8</f>
        <v>+ production laitière</v>
      </c>
      <c r="D12" s="624">
        <f>'Références Mécanisation'!T9</f>
        <v>0</v>
      </c>
      <c r="E12" s="139" t="str">
        <f>'Références Mécanisation'!$U14</f>
        <v>70 à 95</v>
      </c>
      <c r="F12" s="139" t="str">
        <f>'Références Mécanisation'!$U15</f>
        <v>&gt; 50</v>
      </c>
      <c r="G12" s="139" t="str">
        <f>'Références Mécanisation'!$U16</f>
        <v>ND</v>
      </c>
      <c r="H12" s="139" t="str">
        <f>'Références Mécanisation'!$U17</f>
        <v>ND</v>
      </c>
      <c r="I12" s="139" t="str">
        <f>'Références Mécanisation'!$U19</f>
        <v>30 à 50</v>
      </c>
      <c r="J12" s="139" t="str">
        <f>'Références Mécanisation'!$U20</f>
        <v>5 à 40</v>
      </c>
      <c r="K12" s="139" t="str">
        <f>'Références Mécanisation'!$U21</f>
        <v>10 à 60</v>
      </c>
      <c r="L12" s="139" t="str">
        <f>'Références Mécanisation'!U22</f>
        <v>&gt; 7 000</v>
      </c>
      <c r="M12" s="139" t="str">
        <f>'Références Mécanisation'!$U23</f>
        <v>20 à 30</v>
      </c>
      <c r="N12" s="139" t="str">
        <f>'Références Mécanisation'!$U24</f>
        <v>1 900 à 2 500</v>
      </c>
      <c r="O12" s="139" t="str">
        <f>'Références Mécanisation'!$U27</f>
        <v>65 à 95</v>
      </c>
      <c r="P12" s="139" t="str">
        <f>'Références Mécanisation'!$U30</f>
        <v>25 à 50</v>
      </c>
      <c r="Q12" s="141">
        <f>'Références Mécanisation'!$U38</f>
        <v>3</v>
      </c>
      <c r="R12" s="544">
        <f>'Références Mécanisation'!U39</f>
        <v>2.8</v>
      </c>
      <c r="S12" s="139">
        <f>'Références Mécanisation'!$U43</f>
        <v>450</v>
      </c>
      <c r="T12" s="545">
        <f>'Références Mécanisation'!U44</f>
        <v>500</v>
      </c>
      <c r="U12" s="141">
        <f>'Références Mécanisation'!$U45</f>
        <v>14.5</v>
      </c>
      <c r="V12" s="544">
        <f>'Références Mécanisation'!U46</f>
        <v>11.5</v>
      </c>
      <c r="W12" s="141">
        <f>'Références Mécanisation'!$U56</f>
        <v>1.4</v>
      </c>
      <c r="X12" s="544">
        <f>'Références Mécanisation'!U57</f>
        <v>1.3</v>
      </c>
      <c r="Y12" s="139">
        <f>'Références Mécanisation'!$U63</f>
        <v>150</v>
      </c>
      <c r="Z12" s="545">
        <f>'Références Mécanisation'!U64</f>
        <v>130</v>
      </c>
      <c r="AA12" s="139">
        <f>'Références Mécanisation'!$U66</f>
        <v>150</v>
      </c>
      <c r="AB12" s="546">
        <f>'Références Mécanisation'!U67</f>
        <v>130</v>
      </c>
      <c r="AC12" s="139">
        <f>'Références Mécanisation'!$U77</f>
        <v>140</v>
      </c>
      <c r="AD12" s="546">
        <f>'Références Mécanisation'!U78</f>
        <v>105</v>
      </c>
      <c r="AE12" s="567">
        <f>'Références Mécanisation'!$U90</f>
        <v>310</v>
      </c>
      <c r="AF12" s="568">
        <f>'Références Mécanisation'!U91</f>
        <v>250</v>
      </c>
      <c r="AG12" s="141">
        <f>'Références Mécanisation'!$U96</f>
        <v>0.5</v>
      </c>
      <c r="AH12" s="548">
        <f>'Références Mécanisation'!U97</f>
        <v>0.4</v>
      </c>
    </row>
    <row r="13" spans="1:34" hidden="1" x14ac:dyDescent="0.3">
      <c r="A13">
        <v>8</v>
      </c>
      <c r="B13" t="str">
        <f>'Références Mécanisation'!W7</f>
        <v>Grandes cultures</v>
      </c>
      <c r="C13" t="str">
        <f>'Références Mécanisation'!W8</f>
        <v>+ bovins viande / ovins</v>
      </c>
      <c r="D13" s="624">
        <f>'Références Mécanisation'!W9</f>
        <v>0</v>
      </c>
      <c r="E13" s="139" t="str">
        <f>'Références Mécanisation'!$X14</f>
        <v>60 à 85</v>
      </c>
      <c r="F13" s="139" t="str">
        <f>'Références Mécanisation'!$X15</f>
        <v>25 à 40</v>
      </c>
      <c r="G13" s="139" t="str">
        <f>'Références Mécanisation'!$X16</f>
        <v>&lt; 70</v>
      </c>
      <c r="H13" s="139" t="str">
        <f>'Références Mécanisation'!$X17</f>
        <v>ND</v>
      </c>
      <c r="I13" s="139" t="str">
        <f>'Références Mécanisation'!$X19</f>
        <v>&lt; 40</v>
      </c>
      <c r="J13" s="139" t="str">
        <f>'Références Mécanisation'!$X20</f>
        <v>&lt; 5</v>
      </c>
      <c r="K13" s="139" t="str">
        <f>'Références Mécanisation'!$X21</f>
        <v>&lt; 10</v>
      </c>
      <c r="L13" s="139" t="str">
        <f>'Références Mécanisation'!X22</f>
        <v>ND</v>
      </c>
      <c r="M13" s="139" t="str">
        <f>'Références Mécanisation'!$X23</f>
        <v>20 à 40</v>
      </c>
      <c r="N13" s="139" t="str">
        <f>'Références Mécanisation'!$X24</f>
        <v>1 150 à 1 400</v>
      </c>
      <c r="O13" s="139" t="str">
        <f>'Références Mécanisation'!$X27</f>
        <v>130 à 165</v>
      </c>
      <c r="P13" s="139" t="str">
        <f>'Références Mécanisation'!$X30</f>
        <v>&lt; 30</v>
      </c>
      <c r="Q13" s="141">
        <f>'Références Mécanisation'!$X38</f>
        <v>2.2999999999999998</v>
      </c>
      <c r="R13" s="544">
        <f>'Références Mécanisation'!X39</f>
        <v>1.8</v>
      </c>
      <c r="S13" s="139">
        <f>'Références Mécanisation'!$X43</f>
        <v>400</v>
      </c>
      <c r="T13" s="545">
        <f>'Références Mécanisation'!X44</f>
        <v>500</v>
      </c>
      <c r="U13" s="141">
        <f>'Références Mécanisation'!$X45</f>
        <v>9</v>
      </c>
      <c r="V13" s="544">
        <f>'Références Mécanisation'!X46</f>
        <v>8</v>
      </c>
      <c r="W13" s="141">
        <f>'Références Mécanisation'!$X56</f>
        <v>1.2</v>
      </c>
      <c r="X13" s="544">
        <f>'Références Mécanisation'!X57</f>
        <v>1.1000000000000001</v>
      </c>
      <c r="Y13" s="139">
        <f>'Références Mécanisation'!$X63</f>
        <v>85</v>
      </c>
      <c r="Z13" s="545">
        <f>'Références Mécanisation'!X64</f>
        <v>80</v>
      </c>
      <c r="AA13" s="139">
        <f>'Références Mécanisation'!$X66</f>
        <v>85</v>
      </c>
      <c r="AB13" s="546">
        <f>'Références Mécanisation'!X67</f>
        <v>80</v>
      </c>
      <c r="AC13" s="139">
        <f>'Références Mécanisation'!$X77</f>
        <v>90</v>
      </c>
      <c r="AD13" s="546">
        <f>'Références Mécanisation'!X78</f>
        <v>55</v>
      </c>
      <c r="AE13" s="567">
        <f>'Références Mécanisation'!$X90</f>
        <v>180</v>
      </c>
      <c r="AF13" s="568">
        <f>'Références Mécanisation'!X91</f>
        <v>140</v>
      </c>
      <c r="AG13" s="141">
        <f>'Références Mécanisation'!$X96</f>
        <v>0.5</v>
      </c>
      <c r="AH13" s="548">
        <f>'Références Mécanisation'!X97</f>
        <v>0.4</v>
      </c>
    </row>
    <row r="14" spans="1:34" hidden="1" x14ac:dyDescent="0.3">
      <c r="A14">
        <v>9</v>
      </c>
      <c r="B14" t="str">
        <f>'Références Mécanisation'!AF7</f>
        <v>Production laitière dominante</v>
      </c>
      <c r="C14" s="624">
        <f>'Références Mécanisation'!AF8</f>
        <v>0</v>
      </c>
      <c r="D14" t="str">
        <f>'Références Mécanisation'!AF9</f>
        <v>Puisaye, Florentinois</v>
      </c>
      <c r="E14" s="139" t="str">
        <f>'Références Mécanisation'!$AG14</f>
        <v>55 à 70</v>
      </c>
      <c r="F14" s="139" t="str">
        <f>'Références Mécanisation'!$AG15</f>
        <v>ND</v>
      </c>
      <c r="G14" s="139" t="str">
        <f>'Références Mécanisation'!$AG16</f>
        <v>ND</v>
      </c>
      <c r="H14" s="139" t="str">
        <f>'Références Mécanisation'!$AG17</f>
        <v>ND</v>
      </c>
      <c r="I14" s="139" t="str">
        <f>'Références Mécanisation'!$AG19</f>
        <v>55 à 75</v>
      </c>
      <c r="J14" s="139" t="str">
        <f>'Références Mécanisation'!$AG20</f>
        <v>&lt; 25</v>
      </c>
      <c r="K14" s="139" t="str">
        <f>'Références Mécanisation'!$AG21</f>
        <v>&lt; 55</v>
      </c>
      <c r="L14" s="139" t="str">
        <f>'Références Mécanisation'!AG22</f>
        <v>&lt; 7 000</v>
      </c>
      <c r="M14" s="139" t="str">
        <f>'Références Mécanisation'!$AG23</f>
        <v>50 à 60</v>
      </c>
      <c r="N14" s="139" t="str">
        <f>'Références Mécanisation'!$AG24</f>
        <v>1 800 à 2 300</v>
      </c>
      <c r="O14" s="139" t="str">
        <f>'Références Mécanisation'!$AG27</f>
        <v>65 à 90</v>
      </c>
      <c r="P14" s="139" t="str">
        <f>'Références Mécanisation'!$AG30</f>
        <v>20 à 55%</v>
      </c>
      <c r="Q14" s="141">
        <f>'Références Mécanisation'!$AG38</f>
        <v>2.8</v>
      </c>
      <c r="R14" s="544">
        <f>'Références Mécanisation'!AG39</f>
        <v>2.4</v>
      </c>
      <c r="S14" s="139">
        <f>'Références Mécanisation'!$AG43</f>
        <v>475</v>
      </c>
      <c r="T14" s="545">
        <f>'Références Mécanisation'!AG44</f>
        <v>550</v>
      </c>
      <c r="U14" s="141">
        <f>'Références Mécanisation'!$AG45</f>
        <v>15.5</v>
      </c>
      <c r="V14" s="544">
        <f>'Références Mécanisation'!AG46</f>
        <v>13.4</v>
      </c>
      <c r="W14" s="141">
        <f>'Références Mécanisation'!$AG56</f>
        <v>1.4</v>
      </c>
      <c r="X14" s="544">
        <f>'Références Mécanisation'!AG57</f>
        <v>1.2</v>
      </c>
      <c r="Y14" s="139">
        <f>'Références Mécanisation'!$AG63</f>
        <v>135</v>
      </c>
      <c r="Z14" s="545">
        <f>'Références Mécanisation'!AG64</f>
        <v>120</v>
      </c>
      <c r="AA14" s="139">
        <f>'Références Mécanisation'!$AG66</f>
        <v>135</v>
      </c>
      <c r="AB14" s="546">
        <f>'Références Mécanisation'!AG67</f>
        <v>120</v>
      </c>
      <c r="AC14" s="139">
        <f>'Références Mécanisation'!$AG77</f>
        <v>145</v>
      </c>
      <c r="AD14" s="546">
        <f>'Références Mécanisation'!AG78</f>
        <v>105</v>
      </c>
      <c r="AE14" s="567">
        <f>'Références Mécanisation'!$AG90</f>
        <v>325</v>
      </c>
      <c r="AF14" s="568">
        <f>'Références Mécanisation'!AG91</f>
        <v>250</v>
      </c>
      <c r="AG14" s="141">
        <f>'Références Mécanisation'!$AG96</f>
        <v>0.6</v>
      </c>
      <c r="AH14" s="548">
        <f>'Références Mécanisation'!AG97</f>
        <v>0.4</v>
      </c>
    </row>
    <row r="15" spans="1:34" hidden="1" x14ac:dyDescent="0.3">
      <c r="A15">
        <v>10</v>
      </c>
      <c r="B15" t="str">
        <f>'Références Mécanisation'!AI7</f>
        <v>Bovins viande / ovins</v>
      </c>
      <c r="C15" t="str">
        <f>'Références Mécanisation'!AI8</f>
        <v>+ grandes cultures</v>
      </c>
      <c r="D15" s="624">
        <f>'Références Mécanisation'!AI9</f>
        <v>0</v>
      </c>
      <c r="E15" s="139" t="str">
        <f>'Références Mécanisation'!$AJ14</f>
        <v>20 à 40</v>
      </c>
      <c r="F15" s="139" t="str">
        <f>'Références Mécanisation'!$AJ15</f>
        <v>ND</v>
      </c>
      <c r="G15" s="139" t="str">
        <f>'Références Mécanisation'!$AJ16</f>
        <v>ND</v>
      </c>
      <c r="H15" s="139" t="str">
        <f>'Références Mécanisation'!$AJ17</f>
        <v>ND</v>
      </c>
      <c r="I15" s="139" t="str">
        <f>'Références Mécanisation'!$AJ19</f>
        <v>85 à 95</v>
      </c>
      <c r="J15" s="139" t="str">
        <f>'Références Mécanisation'!$AJ20</f>
        <v>&lt; 10</v>
      </c>
      <c r="K15" s="139" t="str">
        <f>'Références Mécanisation'!$AJ21</f>
        <v>10 à 30</v>
      </c>
      <c r="L15" s="139" t="str">
        <f>'Références Mécanisation'!AJ22</f>
        <v>ND</v>
      </c>
      <c r="M15" s="139" t="str">
        <f>'Références Mécanisation'!$AJ23</f>
        <v>75 à 90</v>
      </c>
      <c r="N15" s="139" t="str">
        <f>'Références Mécanisation'!$AJ24</f>
        <v>1 500 à 1 900</v>
      </c>
      <c r="O15" s="139" t="str">
        <f>'Références Mécanisation'!$AJ27</f>
        <v>80 à 120</v>
      </c>
      <c r="P15" s="139" t="str">
        <f>'Références Mécanisation'!$AJ30</f>
        <v>20 à 35</v>
      </c>
      <c r="Q15" s="141">
        <f>'Références Mécanisation'!$AJ38</f>
        <v>2.2999999999999998</v>
      </c>
      <c r="R15" s="544">
        <f>'Références Mécanisation'!AJ39</f>
        <v>1.8</v>
      </c>
      <c r="S15" s="139">
        <f>'Références Mécanisation'!$AJ43</f>
        <v>500</v>
      </c>
      <c r="T15" s="545">
        <f>'Références Mécanisation'!AJ44</f>
        <v>575</v>
      </c>
      <c r="U15" s="141">
        <f>'Références Mécanisation'!$AJ45</f>
        <v>12</v>
      </c>
      <c r="V15" s="544">
        <f>'Références Mécanisation'!AJ46</f>
        <v>10.5</v>
      </c>
      <c r="W15" s="141">
        <f>'Références Mécanisation'!$AJ56</f>
        <v>1.4</v>
      </c>
      <c r="X15" s="544">
        <f>'Références Mécanisation'!AJ57</f>
        <v>1.2</v>
      </c>
      <c r="Y15" s="139">
        <f>'Références Mécanisation'!$AJ63</f>
        <v>75</v>
      </c>
      <c r="Z15" s="545">
        <f>'Références Mécanisation'!AJ64</f>
        <v>65</v>
      </c>
      <c r="AA15" s="139">
        <f>'Références Mécanisation'!$AJ66</f>
        <v>75</v>
      </c>
      <c r="AB15" s="546">
        <f>'Références Mécanisation'!AJ67</f>
        <v>65</v>
      </c>
      <c r="AC15" s="139">
        <f>'Références Mécanisation'!$AJ77</f>
        <v>70</v>
      </c>
      <c r="AD15" s="546">
        <f>'Références Mécanisation'!AJ78</f>
        <v>40</v>
      </c>
      <c r="AE15" s="567">
        <f>'Références Mécanisation'!$AJ90</f>
        <v>220</v>
      </c>
      <c r="AF15" s="568">
        <f>'Références Mécanisation'!AJ91</f>
        <v>155</v>
      </c>
      <c r="AG15" s="141">
        <f>'Références Mécanisation'!$AJ96</f>
        <v>0.5</v>
      </c>
      <c r="AH15" s="548">
        <f>'Références Mécanisation'!AJ97</f>
        <v>0.3</v>
      </c>
    </row>
    <row r="16" spans="1:34" hidden="1" x14ac:dyDescent="0.3">
      <c r="A16">
        <v>11</v>
      </c>
      <c r="B16" t="str">
        <f>'Références Mécanisation'!AL7</f>
        <v>Bovins viande / ovins / caprins</v>
      </c>
      <c r="C16" t="str">
        <f>'Références Mécanisation'!AL8</f>
        <v>en zone hérbagère</v>
      </c>
      <c r="D16" t="str">
        <f>'Références Mécanisation'!AL9</f>
        <v>Auxois, Morvan, Charolais</v>
      </c>
      <c r="E16" s="139" t="str">
        <f>'Références Mécanisation'!$AM14</f>
        <v>25 à 40</v>
      </c>
      <c r="F16" s="139" t="str">
        <f>'Références Mécanisation'!$AM15</f>
        <v>ND</v>
      </c>
      <c r="G16" s="139" t="str">
        <f>'Références Mécanisation'!$AM16</f>
        <v>ND</v>
      </c>
      <c r="H16" s="139" t="str">
        <f>'Références Mécanisation'!$AM17</f>
        <v>ND</v>
      </c>
      <c r="I16" s="139" t="str">
        <f>'Références Mécanisation'!$AM19</f>
        <v>&gt; 90</v>
      </c>
      <c r="J16" s="139">
        <f>'Références Mécanisation'!$AM20</f>
        <v>0</v>
      </c>
      <c r="K16" s="139" t="str">
        <f>'Références Mécanisation'!$AM21</f>
        <v>20 à 30</v>
      </c>
      <c r="L16" s="139" t="str">
        <f>'Références Mécanisation'!AM22</f>
        <v>ND</v>
      </c>
      <c r="M16" s="139" t="str">
        <f>'Références Mécanisation'!$AM23</f>
        <v>&gt; 90</v>
      </c>
      <c r="N16" s="139" t="str">
        <f>'Références Mécanisation'!$AM24</f>
        <v>950 à 1 400</v>
      </c>
      <c r="O16" s="139" t="str">
        <f>'Références Mécanisation'!$AM27</f>
        <v>70 à 100</v>
      </c>
      <c r="P16" s="139" t="str">
        <f>'Références Mécanisation'!$AM30</f>
        <v>10 à 20</v>
      </c>
      <c r="Q16" s="141">
        <f>'Références Mécanisation'!$AM38</f>
        <v>2.2000000000000002</v>
      </c>
      <c r="R16" s="544">
        <f>'Références Mécanisation'!AM39</f>
        <v>1.6</v>
      </c>
      <c r="S16" s="139">
        <f>'Références Mécanisation'!$AM43</f>
        <v>475</v>
      </c>
      <c r="T16" s="545">
        <f>'Références Mécanisation'!AM44</f>
        <v>525</v>
      </c>
      <c r="U16" s="141">
        <f>'Références Mécanisation'!$AM45</f>
        <v>11.8</v>
      </c>
      <c r="V16" s="544">
        <f>'Références Mécanisation'!AM46</f>
        <v>9.8000000000000007</v>
      </c>
      <c r="W16" s="141">
        <f>'Références Mécanisation'!$AM56</f>
        <v>1.4</v>
      </c>
      <c r="X16" s="544">
        <f>'Références Mécanisation'!AM57</f>
        <v>1.2</v>
      </c>
      <c r="Y16" s="139">
        <f>'Références Mécanisation'!$AM63</f>
        <v>65</v>
      </c>
      <c r="Z16" s="545">
        <f>'Références Mécanisation'!AM64</f>
        <v>55</v>
      </c>
      <c r="AA16" s="139">
        <f>'Références Mécanisation'!$AM66</f>
        <v>65</v>
      </c>
      <c r="AB16" s="546">
        <f>'Références Mécanisation'!AM67</f>
        <v>55</v>
      </c>
      <c r="AC16" s="139">
        <f>'Références Mécanisation'!$AM77</f>
        <v>60</v>
      </c>
      <c r="AD16" s="546">
        <f>'Références Mécanisation'!AM78</f>
        <v>40</v>
      </c>
      <c r="AE16" s="567">
        <f>'Références Mécanisation'!$AM90</f>
        <v>140</v>
      </c>
      <c r="AF16" s="568">
        <f>'Références Mécanisation'!AM91</f>
        <v>100</v>
      </c>
      <c r="AG16" s="141">
        <f>'Références Mécanisation'!$AM96</f>
        <v>0.4</v>
      </c>
      <c r="AH16" s="548">
        <f>'Références Mécanisation'!AM97</f>
        <v>0.3</v>
      </c>
    </row>
    <row r="17" spans="1:34" hidden="1" x14ac:dyDescent="0.3">
      <c r="A17">
        <v>12</v>
      </c>
      <c r="B17" t="str">
        <f>'Références Mécanisation'!AO7</f>
        <v>Bovins viande / ovins / caprins</v>
      </c>
      <c r="C17" t="str">
        <f>'Références Mécanisation'!AO8</f>
        <v>en zone herbagère / extensif</v>
      </c>
      <c r="D17" t="str">
        <f>'Références Mécanisation'!AO9</f>
        <v>Morvan, Charolais</v>
      </c>
      <c r="E17" s="139" t="str">
        <f>'Références Mécanisation'!$AP14</f>
        <v>10 à 15</v>
      </c>
      <c r="F17" s="139" t="str">
        <f>'Références Mécanisation'!$AP15</f>
        <v>ND</v>
      </c>
      <c r="G17" s="139" t="str">
        <f>'Références Mécanisation'!$AP16</f>
        <v>ND</v>
      </c>
      <c r="H17" s="139" t="str">
        <f>'Références Mécanisation'!$AP17</f>
        <v>ND</v>
      </c>
      <c r="I17" s="139" t="str">
        <f>'Références Mécanisation'!$AP19</f>
        <v>&gt; 90</v>
      </c>
      <c r="J17" s="139">
        <f>'Références Mécanisation'!$AP20</f>
        <v>0</v>
      </c>
      <c r="K17" s="139" t="str">
        <f>'Références Mécanisation'!$AP21</f>
        <v>&lt; 10</v>
      </c>
      <c r="L17" s="139" t="str">
        <f>'Références Mécanisation'!AP22</f>
        <v>ND</v>
      </c>
      <c r="M17" s="139" t="str">
        <f>'Références Mécanisation'!$AP23</f>
        <v>&gt; 90</v>
      </c>
      <c r="N17" s="139" t="str">
        <f>'Références Mécanisation'!$AP24</f>
        <v>950 à 1 400</v>
      </c>
      <c r="O17" s="139" t="str">
        <f>'Références Mécanisation'!$AP27</f>
        <v>70 à 100</v>
      </c>
      <c r="P17" s="139" t="str">
        <f>'Références Mécanisation'!$AP30</f>
        <v>15 à 30</v>
      </c>
      <c r="Q17" s="141">
        <f>'Références Mécanisation'!$AP38</f>
        <v>2</v>
      </c>
      <c r="R17" s="544">
        <f>'Références Mécanisation'!AP39</f>
        <v>1.4</v>
      </c>
      <c r="S17" s="139">
        <f>'Références Mécanisation'!$AP43</f>
        <v>375</v>
      </c>
      <c r="T17" s="545">
        <f>'Références Mécanisation'!AP44</f>
        <v>425</v>
      </c>
      <c r="U17" s="141">
        <f>'Références Mécanisation'!$AP45</f>
        <v>9.1999999999999993</v>
      </c>
      <c r="V17" s="544">
        <f>'Références Mécanisation'!AP46</f>
        <v>8.1</v>
      </c>
      <c r="W17" s="141">
        <f>'Références Mécanisation'!$AP56</f>
        <v>1.4</v>
      </c>
      <c r="X17" s="544">
        <f>'Références Mécanisation'!AP57</f>
        <v>1.2</v>
      </c>
      <c r="Y17" s="139">
        <f>'Références Mécanisation'!$AP63</f>
        <v>65</v>
      </c>
      <c r="Z17" s="545">
        <f>'Références Mécanisation'!AP64</f>
        <v>50</v>
      </c>
      <c r="AA17" s="139">
        <f>'Références Mécanisation'!$AP66</f>
        <v>65</v>
      </c>
      <c r="AB17" s="546">
        <f>'Références Mécanisation'!AP67</f>
        <v>50</v>
      </c>
      <c r="AC17" s="139">
        <f>'Références Mécanisation'!$AP77</f>
        <v>35</v>
      </c>
      <c r="AD17" s="546">
        <f>'Références Mécanisation'!AP78</f>
        <v>28</v>
      </c>
      <c r="AE17" s="567">
        <f>'Références Mécanisation'!$AP90</f>
        <v>130</v>
      </c>
      <c r="AF17" s="568">
        <f>'Références Mécanisation'!AP91</f>
        <v>95</v>
      </c>
      <c r="AG17" s="141">
        <f>'Références Mécanisation'!$AP96</f>
        <v>0.4</v>
      </c>
      <c r="AH17" s="548">
        <f>'Références Mécanisation'!AP97</f>
        <v>0.3</v>
      </c>
    </row>
    <row r="18" spans="1:34" hidden="1" x14ac:dyDescent="0.3">
      <c r="A18">
        <v>13</v>
      </c>
      <c r="B18" t="str">
        <f>'Références Mécanisation'!AU7</f>
        <v>Production laitière (Lait à Comté)</v>
      </c>
      <c r="C18" t="str">
        <f>'Références Mécanisation'!AU8</f>
        <v>+ céréales autoconsommées</v>
      </c>
      <c r="D18" t="str">
        <f>'Références Mécanisation'!AU9</f>
        <v>Doubs &amp; Jura</v>
      </c>
      <c r="E18" s="139" t="str">
        <f>'Références Mécanisation'!AV14</f>
        <v>10 à 20</v>
      </c>
      <c r="F18" s="139" t="str">
        <f>'Références Mécanisation'!AV15</f>
        <v>ND</v>
      </c>
      <c r="G18" s="139" t="str">
        <f>'Références Mécanisation'!AV16</f>
        <v>ND</v>
      </c>
      <c r="H18" s="139" t="str">
        <f>'Références Mécanisation'!AV17</f>
        <v>ND</v>
      </c>
      <c r="I18" s="139" t="str">
        <f>'Références Mécanisation'!AV19</f>
        <v>80 à 90</v>
      </c>
      <c r="J18" s="139">
        <f>'Références Mécanisation'!AV20</f>
        <v>0</v>
      </c>
      <c r="K18" s="139">
        <f>'Références Mécanisation'!AV21</f>
        <v>0</v>
      </c>
      <c r="L18" s="139" t="str">
        <f>'Références Mécanisation'!AV22</f>
        <v>&lt; 4 600</v>
      </c>
      <c r="M18" s="139" t="str">
        <f>'Références Mécanisation'!AV23</f>
        <v>80 à 90</v>
      </c>
      <c r="N18" s="139" t="str">
        <f>'Références Mécanisation'!AV24</f>
        <v>2 500 à 3 100</v>
      </c>
      <c r="O18" s="139" t="str">
        <f>'Références Mécanisation'!AV27</f>
        <v>55 à 85</v>
      </c>
      <c r="P18" s="139" t="str">
        <f>'Références Mécanisation'!AV30</f>
        <v>5 à 15%</v>
      </c>
      <c r="Q18" s="141">
        <f>'Références Mécanisation'!AV38</f>
        <v>3.7</v>
      </c>
      <c r="R18" s="544">
        <f>'Références Mécanisation'!AV39</f>
        <v>3.3</v>
      </c>
      <c r="S18" s="139">
        <f>'Références Mécanisation'!AV43</f>
        <v>350</v>
      </c>
      <c r="T18" s="545">
        <f>'Références Mécanisation'!AV44</f>
        <v>400</v>
      </c>
      <c r="U18" s="141">
        <f>'Références Mécanisation'!AV45</f>
        <v>13.5</v>
      </c>
      <c r="V18" s="544">
        <f>'Références Mécanisation'!AV46</f>
        <v>13</v>
      </c>
      <c r="W18" s="141">
        <f>'Références Mécanisation'!AV56</f>
        <v>1.4</v>
      </c>
      <c r="X18" s="544">
        <f>'Références Mécanisation'!AV57</f>
        <v>1.2</v>
      </c>
      <c r="Y18" s="139">
        <f>'Références Mécanisation'!AV63</f>
        <v>115</v>
      </c>
      <c r="Z18" s="545">
        <f>'Références Mécanisation'!AV64</f>
        <v>100</v>
      </c>
      <c r="AA18" s="139">
        <f>'Références Mécanisation'!AV66</f>
        <v>115</v>
      </c>
      <c r="AB18" s="546">
        <f>'Références Mécanisation'!AV67</f>
        <v>100</v>
      </c>
      <c r="AC18" s="139">
        <f>'Références Mécanisation'!AV77</f>
        <v>165</v>
      </c>
      <c r="AD18" s="546">
        <f>'Références Mécanisation'!AV78</f>
        <v>145</v>
      </c>
      <c r="AE18" s="567">
        <f>'Références Mécanisation'!AV90</f>
        <v>500</v>
      </c>
      <c r="AF18" s="568">
        <f>'Références Mécanisation'!AV91</f>
        <v>400</v>
      </c>
      <c r="AG18" s="141">
        <f>'Références Mécanisation'!AV96</f>
        <v>0.6</v>
      </c>
      <c r="AH18" s="548">
        <f>'Références Mécanisation'!AV97</f>
        <v>0.5</v>
      </c>
    </row>
    <row r="19" spans="1:34" hidden="1" x14ac:dyDescent="0.3">
      <c r="A19">
        <v>14</v>
      </c>
      <c r="B19" s="401" t="str">
        <f>'Références Mécanisation'!AX7</f>
        <v>Production laitière (Lait à Comté)</v>
      </c>
      <c r="C19" s="401" t="str">
        <f>'Références Mécanisation'!AX8</f>
        <v>"100% herbe"</v>
      </c>
      <c r="D19" s="401" t="str">
        <f>'Références Mécanisation'!AX9</f>
        <v>Doubs &amp; Jura</v>
      </c>
      <c r="E19" s="615">
        <f>'Références Mécanisation'!AY14</f>
        <v>0</v>
      </c>
      <c r="F19" s="615" t="str">
        <f>'Références Mécanisation'!AY15</f>
        <v>ND</v>
      </c>
      <c r="G19" s="615" t="str">
        <f>'Références Mécanisation'!AY16</f>
        <v>ND</v>
      </c>
      <c r="H19" s="615" t="str">
        <f>'Références Mécanisation'!AY17</f>
        <v>ND</v>
      </c>
      <c r="I19" s="615">
        <f>'Références Mécanisation'!AY19</f>
        <v>100</v>
      </c>
      <c r="J19" s="615">
        <f>'Références Mécanisation'!AY20</f>
        <v>0</v>
      </c>
      <c r="K19" s="615">
        <f>'Références Mécanisation'!AY21</f>
        <v>0</v>
      </c>
      <c r="L19" s="615" t="str">
        <f>'Références Mécanisation'!AY22</f>
        <v>&lt; 4 600</v>
      </c>
      <c r="M19" s="615">
        <f>'Références Mécanisation'!AY23</f>
        <v>100</v>
      </c>
      <c r="N19" s="615" t="str">
        <f>'Références Mécanisation'!AY24</f>
        <v>2750 à 3 200</v>
      </c>
      <c r="O19" s="615" t="str">
        <f>'Références Mécanisation'!AY27</f>
        <v>45 à 65</v>
      </c>
      <c r="P19" s="615" t="str">
        <f>'Références Mécanisation'!AY30</f>
        <v>10 à 40%</v>
      </c>
      <c r="Q19" s="616">
        <f>'Références Mécanisation'!AY38</f>
        <v>3.2</v>
      </c>
      <c r="R19" s="617">
        <f>'Références Mécanisation'!AY39</f>
        <v>2.4</v>
      </c>
      <c r="S19" s="623">
        <f>'Références Mécanisation'!AY43</f>
        <v>350</v>
      </c>
      <c r="T19" s="618">
        <f>'Références Mécanisation'!AY44</f>
        <v>400</v>
      </c>
      <c r="U19" s="616">
        <f>'Références Mécanisation'!AY45</f>
        <v>11.7</v>
      </c>
      <c r="V19" s="617">
        <f>'Références Mécanisation'!AY46</f>
        <v>9.1</v>
      </c>
      <c r="W19" s="616" t="str">
        <f>'Références Mécanisation'!AY56</f>
        <v>ND</v>
      </c>
      <c r="X19" s="617" t="str">
        <f>'Références Mécanisation'!AY57</f>
        <v>ND</v>
      </c>
      <c r="Y19" s="615">
        <f>'Références Mécanisation'!AY63</f>
        <v>75</v>
      </c>
      <c r="Z19" s="618">
        <f>'Références Mécanisation'!AY64</f>
        <v>55</v>
      </c>
      <c r="AA19" s="615">
        <f>'Références Mécanisation'!AY66</f>
        <v>75</v>
      </c>
      <c r="AB19" s="619">
        <f>'Références Mécanisation'!AY67</f>
        <v>55</v>
      </c>
      <c r="AC19" s="615">
        <f>'Références Mécanisation'!AY77</f>
        <v>105</v>
      </c>
      <c r="AD19" s="619">
        <f>'Références Mécanisation'!AY78</f>
        <v>85</v>
      </c>
      <c r="AE19" s="620">
        <f>'Références Mécanisation'!AY90</f>
        <v>375</v>
      </c>
      <c r="AF19" s="621">
        <f>'Références Mécanisation'!AY91</f>
        <v>325</v>
      </c>
      <c r="AG19" s="616">
        <f>'Références Mécanisation'!AY96</f>
        <v>0.5</v>
      </c>
      <c r="AH19" s="622">
        <f>'Références Mécanisation'!AY97</f>
        <v>0.4</v>
      </c>
    </row>
    <row r="20" spans="1:34" hidden="1" x14ac:dyDescent="0.3">
      <c r="A20">
        <v>15</v>
      </c>
      <c r="B20" s="401" t="str">
        <f>'Références Mécanisation'!H7</f>
        <v>Grandes cultures</v>
      </c>
      <c r="C20" s="401" t="str">
        <f>'Références Mécanisation'!H8</f>
        <v>&amp; faible potentiel / en BIO</v>
      </c>
      <c r="D20" s="401" t="str">
        <f>'Références Mécanisation'!H9</f>
        <v>Plateaux de Bourgogne</v>
      </c>
      <c r="E20" s="615" t="str">
        <f>'Références Mécanisation'!I14</f>
        <v>&gt; 95</v>
      </c>
      <c r="F20" s="615" t="str">
        <f>'Références Mécanisation'!I15</f>
        <v>&gt; 25</v>
      </c>
      <c r="G20" s="615" t="str">
        <f>'Références Mécanisation'!I16</f>
        <v>&lt; 30</v>
      </c>
      <c r="H20" s="615" t="str">
        <f>'Références Mécanisation'!I17</f>
        <v>ND</v>
      </c>
      <c r="I20" s="615" t="str">
        <f>'Références Mécanisation'!I19</f>
        <v>ND</v>
      </c>
      <c r="J20" s="615" t="str">
        <f>'Références Mécanisation'!I20</f>
        <v>ND</v>
      </c>
      <c r="K20" s="615" t="str">
        <f>'Références Mécanisation'!I21</f>
        <v>ND</v>
      </c>
      <c r="L20" s="615" t="str">
        <f>'Références Mécanisation'!I22</f>
        <v>ND</v>
      </c>
      <c r="M20" s="615" t="str">
        <f>'Références Mécanisation'!I23</f>
        <v>ND</v>
      </c>
      <c r="N20" s="615" t="str">
        <f>'Références Mécanisation'!I24</f>
        <v>1 150 à 1 500</v>
      </c>
      <c r="O20" s="615" t="str">
        <f>'Références Mécanisation'!I27</f>
        <v>130 à 160</v>
      </c>
      <c r="P20" s="615" t="str">
        <f>'Références Mécanisation'!I30</f>
        <v>&lt; 10</v>
      </c>
      <c r="Q20" s="616">
        <f>'Références Mécanisation'!I38</f>
        <v>2.2000000000000002</v>
      </c>
      <c r="R20" s="617">
        <f>'Références Mécanisation'!I39</f>
        <v>1.8</v>
      </c>
      <c r="S20" s="623">
        <f>'Références Mécanisation'!I43</f>
        <v>325</v>
      </c>
      <c r="T20" s="618">
        <f>'Références Mécanisation'!I44</f>
        <v>375</v>
      </c>
      <c r="U20" s="616">
        <f>'Références Mécanisation'!I45</f>
        <v>7</v>
      </c>
      <c r="V20" s="617">
        <f>'Références Mécanisation'!I46</f>
        <v>5.5</v>
      </c>
      <c r="W20" s="616">
        <f>'Références Mécanisation'!I56</f>
        <v>1</v>
      </c>
      <c r="X20" s="617">
        <f>'Références Mécanisation'!I57</f>
        <v>0.9</v>
      </c>
      <c r="Y20" s="615">
        <f>'Références Mécanisation'!I63</f>
        <v>95</v>
      </c>
      <c r="Z20" s="618">
        <f>'Références Mécanisation'!I64</f>
        <v>85</v>
      </c>
      <c r="AA20" s="615">
        <f>'Références Mécanisation'!I66</f>
        <v>95</v>
      </c>
      <c r="AB20" s="619">
        <f>'Références Mécanisation'!I67</f>
        <v>85</v>
      </c>
      <c r="AC20" s="615">
        <f>'Références Mécanisation'!I77</f>
        <v>75</v>
      </c>
      <c r="AD20" s="619">
        <f>'Références Mécanisation'!I78</f>
        <v>55</v>
      </c>
      <c r="AE20" s="620">
        <f>'Références Mécanisation'!I90</f>
        <v>275</v>
      </c>
      <c r="AF20" s="621">
        <f>'Références Mécanisation'!I91</f>
        <v>225</v>
      </c>
      <c r="AG20" s="616">
        <f>'Références Mécanisation'!I96</f>
        <v>0.70000000000000007</v>
      </c>
      <c r="AH20" s="622">
        <f>'Références Mécanisation'!I97</f>
        <v>0.6</v>
      </c>
    </row>
    <row r="21" spans="1:34" hidden="1" x14ac:dyDescent="0.3">
      <c r="A21">
        <v>16</v>
      </c>
      <c r="B21" s="401" t="str">
        <f>'Références Mécanisation'!N7</f>
        <v>Grandes cultures</v>
      </c>
      <c r="C21" s="401" t="str">
        <f>'Références Mécanisation'!N8</f>
        <v>&amp; fort potentiel / en BIO</v>
      </c>
      <c r="D21" s="401" t="str">
        <f>'Références Mécanisation'!N9</f>
        <v>Zones de Plaines, Vallées</v>
      </c>
      <c r="E21" s="615" t="str">
        <f>'Références Mécanisation'!O14</f>
        <v>&gt; 95</v>
      </c>
      <c r="F21" s="615" t="str">
        <f>'Références Mécanisation'!O15</f>
        <v>&gt; 50</v>
      </c>
      <c r="G21" s="615" t="str">
        <f>'Références Mécanisation'!O16</f>
        <v>&gt; 30</v>
      </c>
      <c r="H21" s="615" t="str">
        <f>'Références Mécanisation'!O17</f>
        <v>ND</v>
      </c>
      <c r="I21" s="615" t="str">
        <f>'Références Mécanisation'!O19</f>
        <v>ND</v>
      </c>
      <c r="J21" s="615" t="str">
        <f>'Références Mécanisation'!O20</f>
        <v>ND</v>
      </c>
      <c r="K21" s="615" t="str">
        <f>'Références Mécanisation'!O21</f>
        <v>ND</v>
      </c>
      <c r="L21" s="615" t="str">
        <f>'Références Mécanisation'!O22</f>
        <v>ND</v>
      </c>
      <c r="M21" s="615" t="str">
        <f>'Références Mécanisation'!O23</f>
        <v>ND</v>
      </c>
      <c r="N21" s="615" t="str">
        <f>'Références Mécanisation'!O24</f>
        <v>1 350 à 2 000</v>
      </c>
      <c r="O21" s="615" t="str">
        <f>'Références Mécanisation'!O27</f>
        <v>90 à 140</v>
      </c>
      <c r="P21" s="615" t="str">
        <f>'Références Mécanisation'!O30</f>
        <v>&lt; 35</v>
      </c>
      <c r="Q21" s="616">
        <f>'Références Mécanisation'!O38</f>
        <v>3</v>
      </c>
      <c r="R21" s="617">
        <f>'Références Mécanisation'!O39</f>
        <v>2.5</v>
      </c>
      <c r="S21" s="623">
        <f>'Références Mécanisation'!O43</f>
        <v>350</v>
      </c>
      <c r="T21" s="618">
        <f>'Références Mécanisation'!O44</f>
        <v>400</v>
      </c>
      <c r="U21" s="616">
        <f>'Références Mécanisation'!O45</f>
        <v>7.5</v>
      </c>
      <c r="V21" s="617">
        <f>'Références Mécanisation'!O46</f>
        <v>6</v>
      </c>
      <c r="W21" s="616">
        <f>'Références Mécanisation'!O56</f>
        <v>1.2</v>
      </c>
      <c r="X21" s="617">
        <f>'Références Mécanisation'!O57</f>
        <v>1</v>
      </c>
      <c r="Y21" s="615">
        <f>'Références Mécanisation'!O63</f>
        <v>110</v>
      </c>
      <c r="Z21" s="618">
        <f>'Références Mécanisation'!O64</f>
        <v>100</v>
      </c>
      <c r="AA21" s="615">
        <f>'Références Mécanisation'!O66</f>
        <v>110</v>
      </c>
      <c r="AB21" s="619">
        <f>'Références Mécanisation'!O67</f>
        <v>100</v>
      </c>
      <c r="AC21" s="615">
        <f>'Références Mécanisation'!O77</f>
        <v>75</v>
      </c>
      <c r="AD21" s="619">
        <f>'Références Mécanisation'!O78</f>
        <v>50</v>
      </c>
      <c r="AE21" s="620">
        <f>'Références Mécanisation'!O90</f>
        <v>300</v>
      </c>
      <c r="AF21" s="621">
        <f>'Références Mécanisation'!O91</f>
        <v>240</v>
      </c>
      <c r="AG21" s="616">
        <f>'Références Mécanisation'!O96</f>
        <v>0.6</v>
      </c>
      <c r="AH21" s="622">
        <f>'Références Mécanisation'!O97</f>
        <v>0.5</v>
      </c>
    </row>
    <row r="22" spans="1:34" hidden="1" x14ac:dyDescent="0.3">
      <c r="A22">
        <v>17</v>
      </c>
      <c r="B22" s="401" t="str">
        <f>'Références Mécanisation'!AR7</f>
        <v>Bovins viande / ovins / caprins</v>
      </c>
      <c r="C22" s="401" t="str">
        <f>'Références Mécanisation'!AR8</f>
        <v>en zone herbagère / extensif / en BIO</v>
      </c>
      <c r="D22" s="401" t="str">
        <f>'Références Mécanisation'!AR9</f>
        <v>Morvan, Charolais</v>
      </c>
      <c r="E22" s="615" t="str">
        <f>'Références Mécanisation'!AS14</f>
        <v>&lt; 15</v>
      </c>
      <c r="F22" s="615" t="str">
        <f>'Références Mécanisation'!AS15</f>
        <v>ND</v>
      </c>
      <c r="G22" s="615" t="str">
        <f>'Références Mécanisation'!AS16</f>
        <v>ND</v>
      </c>
      <c r="H22" s="615" t="str">
        <f>'Références Mécanisation'!AS17</f>
        <v>ND</v>
      </c>
      <c r="I22" s="615" t="str">
        <f>'Références Mécanisation'!AS19</f>
        <v>&gt; 90</v>
      </c>
      <c r="J22" s="615">
        <f>'Références Mécanisation'!AS20</f>
        <v>0</v>
      </c>
      <c r="K22" s="615">
        <f>'Références Mécanisation'!AS21</f>
        <v>0</v>
      </c>
      <c r="L22" s="615" t="str">
        <f>'Références Mécanisation'!AS22</f>
        <v>ND</v>
      </c>
      <c r="M22" s="615" t="str">
        <f>'Références Mécanisation'!AS23</f>
        <v>&gt; 85</v>
      </c>
      <c r="N22" s="615" t="str">
        <f>'Références Mécanisation'!AS24</f>
        <v>900 à 1 400</v>
      </c>
      <c r="O22" s="615" t="str">
        <f>'Références Mécanisation'!AS27</f>
        <v>90 à 130</v>
      </c>
      <c r="P22" s="615" t="str">
        <f>'Références Mécanisation'!AS30</f>
        <v>10 à 25</v>
      </c>
      <c r="Q22" s="616">
        <f>'Références Mécanisation'!AS38</f>
        <v>2</v>
      </c>
      <c r="R22" s="617">
        <f>'Références Mécanisation'!AS39</f>
        <v>1.5</v>
      </c>
      <c r="S22" s="623">
        <f>'Références Mécanisation'!AS43</f>
        <v>375</v>
      </c>
      <c r="T22" s="618">
        <f>'Références Mécanisation'!AS44</f>
        <v>425</v>
      </c>
      <c r="U22" s="616">
        <f>'Références Mécanisation'!AS45</f>
        <v>10</v>
      </c>
      <c r="V22" s="617">
        <f>'Références Mécanisation'!AS46</f>
        <v>8</v>
      </c>
      <c r="W22" s="616">
        <f>'Références Mécanisation'!AS56</f>
        <v>1.4</v>
      </c>
      <c r="X22" s="617">
        <f>'Références Mécanisation'!AS57</f>
        <v>1.2</v>
      </c>
      <c r="Y22" s="615">
        <f>'Références Mécanisation'!AS63</f>
        <v>55</v>
      </c>
      <c r="Z22" s="618">
        <f>'Références Mécanisation'!AS64</f>
        <v>40</v>
      </c>
      <c r="AA22" s="615">
        <f>'Références Mécanisation'!AS66</f>
        <v>55</v>
      </c>
      <c r="AB22" s="619">
        <f>'Références Mécanisation'!AS67</f>
        <v>40</v>
      </c>
      <c r="AC22" s="615">
        <f>'Références Mécanisation'!AS77</f>
        <v>30</v>
      </c>
      <c r="AD22" s="619">
        <f>'Références Mécanisation'!AS78</f>
        <v>20</v>
      </c>
      <c r="AE22" s="620">
        <f>'Références Mécanisation'!AS90</f>
        <v>130</v>
      </c>
      <c r="AF22" s="621">
        <f>'Références Mécanisation'!AS91</f>
        <v>95</v>
      </c>
      <c r="AG22" s="616">
        <f>'Références Mécanisation'!AS96</f>
        <v>0.4</v>
      </c>
      <c r="AH22" s="622">
        <f>'Références Mécanisation'!AS97</f>
        <v>0.3</v>
      </c>
    </row>
    <row r="23" spans="1:34" hidden="1" x14ac:dyDescent="0.3"/>
    <row r="24" spans="1:34" hidden="1" x14ac:dyDescent="0.3"/>
    <row r="25" spans="1:34" hidden="1" x14ac:dyDescent="0.3"/>
    <row r="26" spans="1:34" hidden="1" x14ac:dyDescent="0.3"/>
    <row r="27" spans="1:34" hidden="1" x14ac:dyDescent="0.3"/>
    <row r="28" spans="1:34" hidden="1" x14ac:dyDescent="0.3"/>
    <row r="29" spans="1:34" hidden="1" x14ac:dyDescent="0.3"/>
    <row r="30" spans="1:34" hidden="1" x14ac:dyDescent="0.3"/>
    <row r="31" spans="1:34" hidden="1" x14ac:dyDescent="0.3"/>
    <row r="32" spans="1:34" hidden="1" x14ac:dyDescent="0.3"/>
    <row r="33" hidden="1" x14ac:dyDescent="0.3"/>
    <row r="34" hidden="1" x14ac:dyDescent="0.3"/>
    <row r="35" hidden="1" x14ac:dyDescent="0.3"/>
    <row r="36" hidden="1" x14ac:dyDescent="0.3"/>
    <row r="37" hidden="1" x14ac:dyDescent="0.3"/>
    <row r="38" hidden="1" x14ac:dyDescent="0.3"/>
    <row r="39" hidden="1" x14ac:dyDescent="0.3"/>
    <row r="40" hidden="1" x14ac:dyDescent="0.3"/>
    <row r="41" hidden="1" x14ac:dyDescent="0.3"/>
    <row r="42" hidden="1" x14ac:dyDescent="0.3"/>
    <row r="43" hidden="1" x14ac:dyDescent="0.3"/>
    <row r="44" hidden="1" x14ac:dyDescent="0.3"/>
    <row r="45" hidden="1" x14ac:dyDescent="0.3"/>
    <row r="46" hidden="1" x14ac:dyDescent="0.3"/>
    <row r="47" hidden="1" x14ac:dyDescent="0.3"/>
    <row r="48" hidden="1" x14ac:dyDescent="0.3"/>
    <row r="49" hidden="1" x14ac:dyDescent="0.3"/>
    <row r="50" hidden="1" x14ac:dyDescent="0.3"/>
    <row r="51" hidden="1" x14ac:dyDescent="0.3"/>
    <row r="52" hidden="1" x14ac:dyDescent="0.3"/>
    <row r="53" hidden="1" x14ac:dyDescent="0.3"/>
    <row r="54" hidden="1" x14ac:dyDescent="0.3"/>
    <row r="55" hidden="1" x14ac:dyDescent="0.3"/>
    <row r="56" hidden="1" x14ac:dyDescent="0.3"/>
    <row r="57" hidden="1" x14ac:dyDescent="0.3"/>
    <row r="58" hidden="1" x14ac:dyDescent="0.3"/>
    <row r="59" hidden="1" x14ac:dyDescent="0.3"/>
    <row r="60" hidden="1" x14ac:dyDescent="0.3"/>
    <row r="61" hidden="1" x14ac:dyDescent="0.3"/>
    <row r="62" hidden="1" x14ac:dyDescent="0.3"/>
    <row r="63" hidden="1" x14ac:dyDescent="0.3"/>
    <row r="64"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row r="93" hidden="1" x14ac:dyDescent="0.3"/>
    <row r="94" hidden="1" x14ac:dyDescent="0.3"/>
    <row r="95" hidden="1" x14ac:dyDescent="0.3"/>
    <row r="96" hidden="1" x14ac:dyDescent="0.3"/>
    <row r="97" hidden="1" x14ac:dyDescent="0.3"/>
    <row r="98" hidden="1" x14ac:dyDescent="0.3"/>
    <row r="99" hidden="1" x14ac:dyDescent="0.3"/>
  </sheetData>
  <sheetProtection algorithmName="SHA-512" hashValue="MoGdDixTqVreO0eKNTK3fdoHTsGzz7OI9EGJHFT7NCx/UGqM0ft/PK5OJhhLt87e6uxqKFF+vuu++gFo4BwCPg==" saltValue="izWqTy2YTan0yhGG6f+3i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4"/>
  <sheetViews>
    <sheetView topLeftCell="A100" workbookViewId="0">
      <selection activeCell="A100" sqref="A1:XFD1048576"/>
    </sheetView>
  </sheetViews>
  <sheetFormatPr baseColWidth="10" defaultColWidth="11.44140625" defaultRowHeight="14.4" x14ac:dyDescent="0.3"/>
  <cols>
    <col min="1" max="1" width="53.109375" style="2" customWidth="1"/>
    <col min="2" max="2" width="2.6640625" style="203" customWidth="1"/>
    <col min="3" max="4" width="12.6640625" style="3" customWidth="1"/>
    <col min="5" max="5" width="11.44140625" style="3"/>
    <col min="6" max="16384" width="11.44140625" style="2"/>
  </cols>
  <sheetData>
    <row r="1" spans="1:5" ht="24.6" hidden="1" x14ac:dyDescent="0.3">
      <c r="A1" s="202" t="s">
        <v>0</v>
      </c>
    </row>
    <row r="2" spans="1:5" ht="22.8" hidden="1" x14ac:dyDescent="0.4">
      <c r="A2" s="204" t="s">
        <v>1</v>
      </c>
    </row>
    <row r="3" spans="1:5" ht="17.399999999999999" hidden="1" x14ac:dyDescent="0.3">
      <c r="A3" s="205" t="s">
        <v>292</v>
      </c>
    </row>
    <row r="4" spans="1:5" ht="18" hidden="1" x14ac:dyDescent="0.35">
      <c r="A4" s="270"/>
      <c r="B4" s="701">
        <f>'Calcul FLASH''MECA'!T2</f>
        <v>0</v>
      </c>
      <c r="C4" s="702"/>
      <c r="D4" s="702"/>
      <c r="E4" s="703"/>
    </row>
    <row r="5" spans="1:5" ht="15.6" hidden="1" x14ac:dyDescent="0.3">
      <c r="A5" s="207"/>
      <c r="B5" s="2"/>
      <c r="C5" s="2"/>
      <c r="D5" s="2"/>
      <c r="E5" s="2"/>
    </row>
    <row r="6" spans="1:5" hidden="1" x14ac:dyDescent="0.3">
      <c r="B6" s="704" t="e">
        <f>VLOOKUP($B$4,'Typologie EA'!$A$5:$AG$22,2)</f>
        <v>#N/A</v>
      </c>
      <c r="C6" s="705"/>
      <c r="D6" s="705"/>
      <c r="E6" s="706"/>
    </row>
    <row r="7" spans="1:5" hidden="1" x14ac:dyDescent="0.3">
      <c r="B7" s="707" t="e">
        <f>VLOOKUP($B$4,'Typologie EA'!$A$5:$AG$22,3)</f>
        <v>#N/A</v>
      </c>
      <c r="C7" s="708"/>
      <c r="D7" s="708"/>
      <c r="E7" s="709"/>
    </row>
    <row r="8" spans="1:5" hidden="1" x14ac:dyDescent="0.3">
      <c r="B8" s="710" t="e">
        <f>VLOOKUP($B$4,'Typologie EA'!$A$5:$AG$22,4)</f>
        <v>#N/A</v>
      </c>
      <c r="C8" s="711"/>
      <c r="D8" s="711"/>
      <c r="E8" s="712"/>
    </row>
    <row r="9" spans="1:5" hidden="1" x14ac:dyDescent="0.3">
      <c r="A9" s="12"/>
      <c r="B9" s="209"/>
      <c r="C9" s="16"/>
      <c r="D9" s="16"/>
      <c r="E9" s="17"/>
    </row>
    <row r="10" spans="1:5" ht="15.6" hidden="1" x14ac:dyDescent="0.3">
      <c r="A10" s="19" t="s">
        <v>19</v>
      </c>
      <c r="B10" s="213"/>
      <c r="C10" s="40"/>
      <c r="D10" s="40"/>
      <c r="E10" s="22"/>
    </row>
    <row r="11" spans="1:5" hidden="1" x14ac:dyDescent="0.3">
      <c r="A11" s="23"/>
      <c r="B11" s="23"/>
      <c r="C11" s="24"/>
      <c r="D11" s="24"/>
      <c r="E11" s="25"/>
    </row>
    <row r="12" spans="1:5" hidden="1" x14ac:dyDescent="0.3">
      <c r="A12" s="26" t="s">
        <v>20</v>
      </c>
      <c r="B12" s="26"/>
      <c r="E12" s="22"/>
    </row>
    <row r="13" spans="1:5" hidden="1" x14ac:dyDescent="0.3">
      <c r="A13" s="26" t="s">
        <v>21</v>
      </c>
      <c r="B13" s="218"/>
      <c r="C13" s="271" t="e">
        <f>VLOOKUP($B$4,'Typologie EA'!$A$5:$AG$22,5)</f>
        <v>#N/A</v>
      </c>
      <c r="E13" s="34"/>
    </row>
    <row r="14" spans="1:5" hidden="1" x14ac:dyDescent="0.3">
      <c r="A14" s="26" t="s">
        <v>23</v>
      </c>
      <c r="B14" s="218"/>
      <c r="C14" s="547" t="e">
        <f>VLOOKUP($B$4,'Typologie EA'!$A$5:$AG$22,6)</f>
        <v>#N/A</v>
      </c>
      <c r="E14" s="35"/>
    </row>
    <row r="15" spans="1:5" hidden="1" x14ac:dyDescent="0.3">
      <c r="A15" s="26" t="s">
        <v>26</v>
      </c>
      <c r="B15" s="218"/>
      <c r="C15" s="271" t="e">
        <f>VLOOKUP($B$4,'Typologie EA'!$A$5:$AG$22,7)</f>
        <v>#N/A</v>
      </c>
      <c r="E15" s="34"/>
    </row>
    <row r="16" spans="1:5" hidden="1" x14ac:dyDescent="0.3">
      <c r="A16" s="39" t="s">
        <v>29</v>
      </c>
      <c r="B16" s="218"/>
      <c r="C16" s="547" t="e">
        <f>VLOOKUP($B$4,'Typologie EA'!$A$5:$AG$22,8)</f>
        <v>#N/A</v>
      </c>
      <c r="E16" s="34"/>
    </row>
    <row r="17" spans="1:5" hidden="1" x14ac:dyDescent="0.3">
      <c r="A17" s="26" t="s">
        <v>30</v>
      </c>
      <c r="B17" s="218"/>
      <c r="C17" s="547" t="e">
        <f>VLOOKUP($B$4,'Typologie EA'!$A$5:$AG$22,9)</f>
        <v>#N/A</v>
      </c>
      <c r="E17" s="34"/>
    </row>
    <row r="18" spans="1:5" hidden="1" x14ac:dyDescent="0.3">
      <c r="A18" s="39" t="s">
        <v>32</v>
      </c>
      <c r="B18" s="218"/>
      <c r="C18" s="547" t="e">
        <f>VLOOKUP($B$4,'Typologie EA'!$A$5:$AG$22,10)</f>
        <v>#N/A</v>
      </c>
      <c r="E18" s="220"/>
    </row>
    <row r="19" spans="1:5" hidden="1" x14ac:dyDescent="0.3">
      <c r="A19" s="39" t="s">
        <v>35</v>
      </c>
      <c r="B19" s="218"/>
      <c r="C19" s="547" t="e">
        <f>VLOOKUP($B$4,'Typologie EA'!$A$5:$AG$22,11)</f>
        <v>#N/A</v>
      </c>
      <c r="E19" s="220"/>
    </row>
    <row r="20" spans="1:5" hidden="1" x14ac:dyDescent="0.3">
      <c r="A20" s="39" t="s">
        <v>255</v>
      </c>
      <c r="B20" s="218"/>
      <c r="C20" s="547" t="e">
        <f>VLOOKUP($B$4,'Typologie EA'!$A$5:$AG$22,12)</f>
        <v>#N/A</v>
      </c>
      <c r="E20" s="220"/>
    </row>
    <row r="21" spans="1:5" hidden="1" x14ac:dyDescent="0.3">
      <c r="A21" s="39" t="s">
        <v>37</v>
      </c>
      <c r="B21" s="218"/>
      <c r="C21" s="547" t="e">
        <f>VLOOKUP($B$4,'Typologie EA'!$A$5:$AG$22,13)</f>
        <v>#N/A</v>
      </c>
      <c r="E21" s="220"/>
    </row>
    <row r="22" spans="1:5" hidden="1" x14ac:dyDescent="0.3">
      <c r="A22" s="39" t="s">
        <v>39</v>
      </c>
      <c r="B22" s="223"/>
      <c r="C22" s="547" t="e">
        <f>VLOOKUP($B$4,'Typologie EA'!$A$5:$AG$22,14)</f>
        <v>#N/A</v>
      </c>
      <c r="E22" s="34"/>
    </row>
    <row r="23" spans="1:5" hidden="1" x14ac:dyDescent="0.3">
      <c r="A23" s="26" t="s">
        <v>42</v>
      </c>
      <c r="B23" s="225"/>
      <c r="C23" s="271" t="e">
        <f>VLOOKUP($B$4,'Typologie EA'!$A$5:$AG$22,15)</f>
        <v>#N/A</v>
      </c>
      <c r="E23" s="34"/>
    </row>
    <row r="24" spans="1:5" hidden="1" x14ac:dyDescent="0.3">
      <c r="A24" s="39" t="s">
        <v>44</v>
      </c>
      <c r="B24" s="225"/>
      <c r="C24" s="271" t="e">
        <f>VLOOKUP($B$4,'Typologie EA'!$A$5:$AG$22,16)</f>
        <v>#N/A</v>
      </c>
      <c r="E24" s="220"/>
    </row>
    <row r="25" spans="1:5" hidden="1" x14ac:dyDescent="0.3">
      <c r="A25" s="48"/>
      <c r="B25" s="227"/>
      <c r="C25" s="280"/>
      <c r="D25" s="37"/>
      <c r="E25" s="38"/>
    </row>
    <row r="26" spans="1:5" hidden="1" x14ac:dyDescent="0.3">
      <c r="A26" s="12"/>
      <c r="B26" s="231"/>
      <c r="C26" s="283"/>
      <c r="D26" s="16"/>
      <c r="E26" s="17"/>
    </row>
    <row r="27" spans="1:5" ht="15.6" hidden="1" x14ac:dyDescent="0.3">
      <c r="A27" s="19" t="s">
        <v>45</v>
      </c>
      <c r="B27" s="213"/>
      <c r="C27" s="40" t="s">
        <v>204</v>
      </c>
      <c r="D27" s="40" t="s">
        <v>337</v>
      </c>
      <c r="E27" s="22"/>
    </row>
    <row r="28" spans="1:5" hidden="1" x14ac:dyDescent="0.3">
      <c r="A28" s="23"/>
      <c r="B28" s="233"/>
      <c r="C28" s="274"/>
      <c r="D28" s="24"/>
      <c r="E28" s="25"/>
    </row>
    <row r="29" spans="1:5" hidden="1" x14ac:dyDescent="0.3">
      <c r="A29" s="64" t="s">
        <v>46</v>
      </c>
      <c r="B29" s="235"/>
      <c r="C29" s="172"/>
      <c r="E29" s="22"/>
    </row>
    <row r="30" spans="1:5" hidden="1" x14ac:dyDescent="0.3">
      <c r="A30" s="26" t="s">
        <v>47</v>
      </c>
      <c r="B30" s="235"/>
      <c r="C30" s="172"/>
      <c r="E30" s="22"/>
    </row>
    <row r="31" spans="1:5" hidden="1" x14ac:dyDescent="0.3">
      <c r="A31" s="26" t="s">
        <v>48</v>
      </c>
      <c r="B31" s="235"/>
      <c r="C31" s="172"/>
      <c r="E31" s="22"/>
    </row>
    <row r="32" spans="1:5" hidden="1" x14ac:dyDescent="0.3">
      <c r="A32" s="26" t="s">
        <v>49</v>
      </c>
      <c r="B32" s="68" t="s">
        <v>50</v>
      </c>
      <c r="C32" s="273" t="e">
        <f>VLOOKUP($B$4,'Typologie EA'!$A$5:$AH$22,17)</f>
        <v>#N/A</v>
      </c>
      <c r="D32" s="273" t="e">
        <f>VLOOKUP($B$4,'Typologie EA'!$A$5:$AH$22,18)</f>
        <v>#N/A</v>
      </c>
      <c r="E32" s="70"/>
    </row>
    <row r="33" spans="1:5" hidden="1" x14ac:dyDescent="0.3">
      <c r="A33" s="23"/>
      <c r="B33" s="233"/>
      <c r="C33" s="274"/>
      <c r="D33" s="24"/>
      <c r="E33" s="25"/>
    </row>
    <row r="34" spans="1:5" hidden="1" x14ac:dyDescent="0.3">
      <c r="A34" s="64" t="s">
        <v>52</v>
      </c>
      <c r="B34" s="235"/>
      <c r="C34" s="172"/>
      <c r="E34" s="22"/>
    </row>
    <row r="35" spans="1:5" hidden="1" x14ac:dyDescent="0.3">
      <c r="A35" s="26" t="s">
        <v>53</v>
      </c>
      <c r="B35" s="235"/>
      <c r="C35" s="172"/>
      <c r="E35" s="22"/>
    </row>
    <row r="36" spans="1:5" hidden="1" x14ac:dyDescent="0.3">
      <c r="A36" s="82" t="s">
        <v>54</v>
      </c>
      <c r="B36" s="236" t="s">
        <v>55</v>
      </c>
      <c r="C36" s="272" t="e">
        <f>VLOOKUP($B$4,'Typologie EA'!$A$5:$AH$22,19)</f>
        <v>#N/A</v>
      </c>
      <c r="D36" s="272" t="e">
        <f>VLOOKUP($B$4,'Typologie EA'!$A$5:$AH$22,20)</f>
        <v>#N/A</v>
      </c>
      <c r="E36" s="237"/>
    </row>
    <row r="37" spans="1:5" hidden="1" x14ac:dyDescent="0.3">
      <c r="A37" s="26" t="s">
        <v>57</v>
      </c>
      <c r="B37" s="68" t="s">
        <v>50</v>
      </c>
      <c r="C37" s="273" t="e">
        <f>VLOOKUP($B$4,'Typologie EA'!$A$5:$AH$22,21)</f>
        <v>#N/A</v>
      </c>
      <c r="D37" s="273" t="e">
        <f>VLOOKUP($B$4,'Typologie EA'!$A$5:$AH$22,22)</f>
        <v>#N/A</v>
      </c>
      <c r="E37" s="70"/>
    </row>
    <row r="38" spans="1:5" hidden="1" x14ac:dyDescent="0.3">
      <c r="A38" s="82"/>
      <c r="B38" s="238"/>
      <c r="C38" s="288"/>
      <c r="D38" s="83"/>
      <c r="E38" s="87"/>
    </row>
    <row r="39" spans="1:5" hidden="1" x14ac:dyDescent="0.3">
      <c r="A39" s="12"/>
      <c r="B39" s="231"/>
      <c r="C39" s="283"/>
      <c r="D39" s="16"/>
      <c r="E39" s="17"/>
    </row>
    <row r="40" spans="1:5" ht="15.6" hidden="1" x14ac:dyDescent="0.3">
      <c r="A40" s="19" t="s">
        <v>58</v>
      </c>
      <c r="B40" s="213"/>
      <c r="C40" s="172"/>
      <c r="E40" s="22"/>
    </row>
    <row r="41" spans="1:5" hidden="1" x14ac:dyDescent="0.3">
      <c r="A41" s="23"/>
      <c r="B41" s="233"/>
      <c r="C41" s="274"/>
      <c r="D41" s="24"/>
      <c r="E41" s="25"/>
    </row>
    <row r="42" spans="1:5" hidden="1" x14ac:dyDescent="0.3">
      <c r="A42" s="64" t="s">
        <v>59</v>
      </c>
      <c r="B42" s="235"/>
      <c r="C42" s="172"/>
      <c r="E42" s="22"/>
    </row>
    <row r="43" spans="1:5" hidden="1" x14ac:dyDescent="0.3">
      <c r="A43" s="39" t="s">
        <v>60</v>
      </c>
      <c r="B43" s="226"/>
      <c r="C43" s="522"/>
      <c r="D43" s="40"/>
      <c r="E43" s="90"/>
    </row>
    <row r="44" spans="1:5" hidden="1" x14ac:dyDescent="0.3">
      <c r="A44" s="26" t="s">
        <v>61</v>
      </c>
      <c r="B44" s="235"/>
      <c r="C44" s="172"/>
      <c r="E44" s="22"/>
    </row>
    <row r="45" spans="1:5" hidden="1" x14ac:dyDescent="0.3">
      <c r="A45" s="26" t="s">
        <v>62</v>
      </c>
      <c r="B45" s="235"/>
      <c r="C45" s="172"/>
      <c r="E45" s="22"/>
    </row>
    <row r="46" spans="1:5" hidden="1" x14ac:dyDescent="0.3">
      <c r="A46" s="26" t="s">
        <v>63</v>
      </c>
      <c r="B46" s="235"/>
      <c r="C46" s="69"/>
      <c r="D46" s="69"/>
      <c r="E46" s="70"/>
    </row>
    <row r="47" spans="1:5" hidden="1" x14ac:dyDescent="0.3">
      <c r="A47" s="26"/>
      <c r="B47" s="68" t="s">
        <v>50</v>
      </c>
      <c r="C47" s="273" t="e">
        <f>VLOOKUP($B$4,'Typologie EA'!$A$5:$AH$22,23)</f>
        <v>#N/A</v>
      </c>
      <c r="D47" s="273" t="e">
        <f>VLOOKUP($B$4,'Typologie EA'!$A$5:$AH$22,24)</f>
        <v>#N/A</v>
      </c>
      <c r="E47" s="70"/>
    </row>
    <row r="48" spans="1:5" hidden="1" x14ac:dyDescent="0.3">
      <c r="A48" s="48"/>
      <c r="B48" s="227"/>
      <c r="C48" s="292"/>
      <c r="D48" s="244"/>
      <c r="E48" s="130"/>
    </row>
    <row r="49" spans="1:5" hidden="1" x14ac:dyDescent="0.3">
      <c r="A49" s="13"/>
      <c r="B49" s="209"/>
      <c r="C49" s="294"/>
      <c r="D49" s="14"/>
      <c r="E49" s="247"/>
    </row>
    <row r="50" spans="1:5" ht="15.6" hidden="1" x14ac:dyDescent="0.3">
      <c r="A50" s="19" t="s">
        <v>65</v>
      </c>
      <c r="B50" s="213"/>
      <c r="C50" s="172"/>
      <c r="E50" s="34"/>
    </row>
    <row r="51" spans="1:5" hidden="1" x14ac:dyDescent="0.3">
      <c r="A51" s="23"/>
      <c r="B51" s="233"/>
      <c r="C51" s="274"/>
      <c r="D51" s="24"/>
      <c r="E51" s="250"/>
    </row>
    <row r="52" spans="1:5" hidden="1" x14ac:dyDescent="0.3">
      <c r="A52" s="64" t="s">
        <v>66</v>
      </c>
      <c r="B52" s="235"/>
      <c r="C52" s="172"/>
      <c r="E52" s="34"/>
    </row>
    <row r="53" spans="1:5" hidden="1" x14ac:dyDescent="0.3">
      <c r="A53" s="79" t="s">
        <v>67</v>
      </c>
      <c r="B53" s="68" t="s">
        <v>50</v>
      </c>
      <c r="C53" s="534" t="e">
        <f>VLOOKUP($B$4,'Typologie EA'!$A$5:$AH$22,25)</f>
        <v>#N/A</v>
      </c>
      <c r="D53" s="534" t="e">
        <f>VLOOKUP($B$4,'Typologie EA'!$A$5:$AH$22,26)</f>
        <v>#N/A</v>
      </c>
      <c r="E53" s="252"/>
    </row>
    <row r="54" spans="1:5" hidden="1" x14ac:dyDescent="0.3">
      <c r="A54" s="26" t="s">
        <v>69</v>
      </c>
      <c r="B54" s="57"/>
      <c r="C54" s="522"/>
      <c r="D54" s="40"/>
      <c r="E54" s="34"/>
    </row>
    <row r="55" spans="1:5" hidden="1" x14ac:dyDescent="0.3">
      <c r="A55" s="82" t="s">
        <v>70</v>
      </c>
      <c r="B55" s="254" t="s">
        <v>50</v>
      </c>
      <c r="C55" s="272" t="e">
        <f>VLOOKUP($B$4,'Typologie EA'!$A$5:$AH$22,27)</f>
        <v>#N/A</v>
      </c>
      <c r="D55" s="272" t="e">
        <f>VLOOKUP($B$4,'Typologie EA'!$A$5:$AH$22,28)</f>
        <v>#N/A</v>
      </c>
      <c r="E55" s="237"/>
    </row>
    <row r="56" spans="1:5" hidden="1" x14ac:dyDescent="0.3">
      <c r="A56" s="26"/>
      <c r="B56" s="235"/>
      <c r="C56" s="172"/>
      <c r="E56" s="34"/>
    </row>
    <row r="57" spans="1:5" hidden="1" x14ac:dyDescent="0.3">
      <c r="A57" s="64" t="s">
        <v>72</v>
      </c>
      <c r="B57" s="235"/>
      <c r="C57" s="172"/>
      <c r="E57" s="34"/>
    </row>
    <row r="58" spans="1:5" hidden="1" x14ac:dyDescent="0.3">
      <c r="A58" s="26" t="s">
        <v>73</v>
      </c>
      <c r="B58" s="235"/>
      <c r="C58" s="172"/>
      <c r="E58" s="34"/>
    </row>
    <row r="59" spans="1:5" hidden="1" x14ac:dyDescent="0.3">
      <c r="A59" s="26" t="s">
        <v>74</v>
      </c>
      <c r="B59" s="235"/>
      <c r="C59" s="172"/>
      <c r="E59" s="34"/>
    </row>
    <row r="60" spans="1:5" hidden="1" x14ac:dyDescent="0.3">
      <c r="A60" s="26" t="s">
        <v>75</v>
      </c>
      <c r="B60" s="235"/>
      <c r="C60" s="172"/>
      <c r="E60" s="34"/>
    </row>
    <row r="61" spans="1:5" hidden="1" x14ac:dyDescent="0.3">
      <c r="A61" s="26" t="s">
        <v>76</v>
      </c>
      <c r="B61" s="255"/>
      <c r="C61" s="257" t="s">
        <v>77</v>
      </c>
      <c r="D61" s="257" t="s">
        <v>77</v>
      </c>
      <c r="E61" s="256" t="s">
        <v>78</v>
      </c>
    </row>
    <row r="62" spans="1:5" hidden="1" x14ac:dyDescent="0.3">
      <c r="A62" s="26"/>
      <c r="B62" s="235"/>
      <c r="C62" s="172"/>
      <c r="E62" s="34"/>
    </row>
    <row r="63" spans="1:5" hidden="1" x14ac:dyDescent="0.3">
      <c r="A63" s="12"/>
      <c r="B63" s="231"/>
      <c r="C63" s="283"/>
      <c r="D63" s="16"/>
      <c r="E63" s="122"/>
    </row>
    <row r="64" spans="1:5" hidden="1" x14ac:dyDescent="0.3">
      <c r="A64" s="81" t="s">
        <v>79</v>
      </c>
      <c r="B64" s="235"/>
      <c r="C64" s="172"/>
      <c r="E64" s="34"/>
    </row>
    <row r="65" spans="1:5" hidden="1" x14ac:dyDescent="0.3">
      <c r="A65" s="79" t="s">
        <v>80</v>
      </c>
      <c r="B65" s="68" t="s">
        <v>50</v>
      </c>
      <c r="C65" s="532" t="e">
        <f>VLOOKUP($B$4,'Typologie EA'!$A$5:$AH$22,29)</f>
        <v>#N/A</v>
      </c>
      <c r="D65" s="532" t="e">
        <f>VLOOKUP($B$4,'Typologie EA'!$A$5:$AH$22,30)</f>
        <v>#N/A</v>
      </c>
      <c r="E65" s="70"/>
    </row>
    <row r="66" spans="1:5" hidden="1" x14ac:dyDescent="0.3">
      <c r="A66" s="79" t="s">
        <v>81</v>
      </c>
      <c r="B66" s="259"/>
      <c r="C66" s="123"/>
      <c r="D66" s="123"/>
      <c r="E66" s="70"/>
    </row>
    <row r="67" spans="1:5" hidden="1" x14ac:dyDescent="0.3">
      <c r="A67" s="124"/>
      <c r="B67" s="235"/>
      <c r="C67" s="172"/>
      <c r="E67" s="34"/>
    </row>
    <row r="68" spans="1:5" hidden="1" x14ac:dyDescent="0.3">
      <c r="A68" s="12"/>
      <c r="B68" s="231"/>
      <c r="C68" s="283"/>
      <c r="D68" s="16"/>
      <c r="E68" s="122"/>
    </row>
    <row r="69" spans="1:5" hidden="1" x14ac:dyDescent="0.3">
      <c r="A69" s="64" t="s">
        <v>361</v>
      </c>
      <c r="B69" s="235"/>
      <c r="C69" s="172"/>
      <c r="E69" s="34"/>
    </row>
    <row r="70" spans="1:5" hidden="1" x14ac:dyDescent="0.3">
      <c r="A70" s="26" t="s">
        <v>360</v>
      </c>
      <c r="B70" s="235"/>
      <c r="C70" s="172"/>
      <c r="E70" s="34"/>
    </row>
    <row r="71" spans="1:5" hidden="1" x14ac:dyDescent="0.3">
      <c r="A71" s="26" t="s">
        <v>355</v>
      </c>
      <c r="B71" s="128" t="s">
        <v>50</v>
      </c>
      <c r="C71" s="529" t="e">
        <f>VLOOKUP($B$4,'Typologie EA'!$A$5:$AH$22,31)</f>
        <v>#N/A</v>
      </c>
      <c r="D71" s="529" t="e">
        <f>VLOOKUP($B$4,'Typologie EA'!$A$5:$AH$22,32)</f>
        <v>#N/A</v>
      </c>
      <c r="E71" s="70"/>
    </row>
    <row r="72" spans="1:5" hidden="1" x14ac:dyDescent="0.3">
      <c r="A72" s="48"/>
      <c r="B72" s="227"/>
      <c r="C72" s="280"/>
      <c r="D72" s="37"/>
      <c r="E72" s="130"/>
    </row>
    <row r="73" spans="1:5" hidden="1" x14ac:dyDescent="0.3">
      <c r="A73" s="12"/>
      <c r="B73" s="231"/>
      <c r="C73" s="283"/>
      <c r="D73" s="16"/>
      <c r="E73" s="122"/>
    </row>
    <row r="74" spans="1:5" hidden="1" x14ac:dyDescent="0.3">
      <c r="A74" s="64" t="s">
        <v>85</v>
      </c>
      <c r="B74" s="235"/>
      <c r="C74" s="172"/>
      <c r="E74" s="34"/>
    </row>
    <row r="75" spans="1:5" hidden="1" x14ac:dyDescent="0.3">
      <c r="A75" s="26" t="s">
        <v>86</v>
      </c>
      <c r="B75" s="235"/>
      <c r="C75" s="172"/>
      <c r="E75" s="34"/>
    </row>
    <row r="76" spans="1:5" hidden="1" x14ac:dyDescent="0.3">
      <c r="A76" s="26" t="s">
        <v>87</v>
      </c>
      <c r="B76" s="134" t="s">
        <v>50</v>
      </c>
      <c r="C76" s="273" t="e">
        <f>VLOOKUP($B$4,'Typologie EA'!$A$5:$AH$22,33)</f>
        <v>#N/A</v>
      </c>
      <c r="D76" s="273" t="e">
        <f>VLOOKUP($B$4,'Typologie EA'!$A$5:$AH$22,34)</f>
        <v>#N/A</v>
      </c>
      <c r="E76" s="70"/>
    </row>
    <row r="77" spans="1:5" hidden="1" x14ac:dyDescent="0.3">
      <c r="A77" s="48"/>
      <c r="B77" s="227"/>
      <c r="C77" s="280"/>
      <c r="D77" s="37"/>
      <c r="E77" s="130"/>
    </row>
    <row r="78" spans="1:5" hidden="1" x14ac:dyDescent="0.3">
      <c r="C78" s="260"/>
      <c r="D78" s="260"/>
    </row>
    <row r="79" spans="1:5" hidden="1" x14ac:dyDescent="0.3"/>
    <row r="80" spans="1:5" hidden="1" x14ac:dyDescent="0.3"/>
    <row r="81" spans="1:5" hidden="1" x14ac:dyDescent="0.3">
      <c r="A81" s="261"/>
      <c r="B81" s="262"/>
      <c r="C81" s="28"/>
      <c r="D81" s="28"/>
      <c r="E81" s="28"/>
    </row>
    <row r="82" spans="1:5" ht="15.6" hidden="1" x14ac:dyDescent="0.3">
      <c r="A82" s="261"/>
      <c r="B82" s="263"/>
      <c r="C82" s="264"/>
      <c r="D82" s="264"/>
      <c r="E82" s="264"/>
    </row>
    <row r="83" spans="1:5" ht="15.6" hidden="1" x14ac:dyDescent="0.3">
      <c r="A83" s="261"/>
      <c r="B83" s="265"/>
      <c r="C83" s="266"/>
      <c r="D83" s="266"/>
      <c r="E83" s="266"/>
    </row>
    <row r="84" spans="1:5" ht="15.6" hidden="1" x14ac:dyDescent="0.3">
      <c r="A84" s="261"/>
      <c r="B84" s="265"/>
      <c r="C84" s="266"/>
      <c r="D84" s="266"/>
      <c r="E84" s="266"/>
    </row>
    <row r="85" spans="1:5" ht="15.6" hidden="1" x14ac:dyDescent="0.3">
      <c r="A85" s="261"/>
      <c r="B85" s="265"/>
      <c r="C85" s="266"/>
      <c r="D85" s="266"/>
      <c r="E85" s="266"/>
    </row>
    <row r="86" spans="1:5" ht="15.6" hidden="1" x14ac:dyDescent="0.3">
      <c r="A86" s="261"/>
      <c r="B86" s="265"/>
      <c r="C86" s="266"/>
      <c r="D86" s="266"/>
      <c r="E86" s="266"/>
    </row>
    <row r="87" spans="1:5" ht="15.6" hidden="1" x14ac:dyDescent="0.3">
      <c r="A87" s="261"/>
      <c r="B87" s="263"/>
      <c r="C87" s="264"/>
      <c r="D87" s="264"/>
      <c r="E87" s="264"/>
    </row>
    <row r="88" spans="1:5" ht="15.6" hidden="1" x14ac:dyDescent="0.3">
      <c r="A88" s="261"/>
      <c r="B88" s="265"/>
      <c r="C88" s="266"/>
      <c r="D88" s="266"/>
      <c r="E88" s="266"/>
    </row>
    <row r="89" spans="1:5" ht="15.6" hidden="1" x14ac:dyDescent="0.3">
      <c r="A89" s="261"/>
      <c r="B89" s="265"/>
      <c r="C89" s="266"/>
      <c r="D89" s="266"/>
      <c r="E89" s="266"/>
    </row>
    <row r="90" spans="1:5" ht="15.6" hidden="1" x14ac:dyDescent="0.3">
      <c r="A90" s="261"/>
      <c r="B90" s="263"/>
      <c r="C90" s="264"/>
      <c r="D90" s="264"/>
      <c r="E90" s="264"/>
    </row>
    <row r="91" spans="1:5" ht="15.6" hidden="1" x14ac:dyDescent="0.3">
      <c r="A91" s="261"/>
      <c r="B91" s="265"/>
      <c r="C91" s="266"/>
      <c r="D91" s="266"/>
      <c r="E91" s="266"/>
    </row>
    <row r="92" spans="1:5" ht="15.6" hidden="1" x14ac:dyDescent="0.3">
      <c r="A92" s="261"/>
      <c r="B92" s="265"/>
      <c r="C92" s="266"/>
      <c r="D92" s="266"/>
      <c r="E92" s="266"/>
    </row>
    <row r="93" spans="1:5" ht="15.6" hidden="1" x14ac:dyDescent="0.3">
      <c r="A93" s="261"/>
      <c r="B93" s="265"/>
      <c r="C93" s="266"/>
      <c r="D93" s="266"/>
      <c r="E93" s="266"/>
    </row>
    <row r="94" spans="1:5" ht="15.6" hidden="1" x14ac:dyDescent="0.3">
      <c r="A94" s="261"/>
      <c r="B94" s="265"/>
      <c r="C94" s="266"/>
      <c r="D94" s="266"/>
      <c r="E94" s="266"/>
    </row>
    <row r="95" spans="1:5" ht="15.6" hidden="1" x14ac:dyDescent="0.3">
      <c r="A95" s="261"/>
      <c r="B95" s="263"/>
      <c r="C95" s="264"/>
      <c r="D95" s="264"/>
      <c r="E95" s="264"/>
    </row>
    <row r="96" spans="1:5" ht="15.6" hidden="1" x14ac:dyDescent="0.3">
      <c r="A96" s="261"/>
      <c r="B96" s="265"/>
      <c r="C96" s="266"/>
      <c r="D96" s="266"/>
      <c r="E96" s="266"/>
    </row>
    <row r="97" spans="1:5" ht="15.6" hidden="1" x14ac:dyDescent="0.3">
      <c r="A97" s="261"/>
      <c r="B97" s="265"/>
      <c r="C97" s="266"/>
      <c r="D97" s="266"/>
      <c r="E97" s="266"/>
    </row>
    <row r="98" spans="1:5" ht="15.6" hidden="1" x14ac:dyDescent="0.3">
      <c r="A98" s="261"/>
      <c r="B98" s="265"/>
      <c r="C98" s="266"/>
      <c r="D98" s="266"/>
      <c r="E98" s="266"/>
    </row>
    <row r="99" spans="1:5" ht="15.6" hidden="1" x14ac:dyDescent="0.3">
      <c r="A99" s="261"/>
      <c r="B99" s="265"/>
      <c r="C99" s="266"/>
      <c r="D99" s="266"/>
      <c r="E99" s="266"/>
    </row>
    <row r="100" spans="1:5" ht="15.6" x14ac:dyDescent="0.3">
      <c r="A100" s="261"/>
      <c r="B100" s="263"/>
      <c r="C100" s="264"/>
      <c r="D100" s="264"/>
      <c r="E100" s="264"/>
    </row>
    <row r="101" spans="1:5" ht="15.6" x14ac:dyDescent="0.3">
      <c r="A101" s="261"/>
      <c r="B101" s="265"/>
      <c r="C101" s="266"/>
      <c r="D101" s="266"/>
      <c r="E101" s="266"/>
    </row>
    <row r="102" spans="1:5" ht="15.6" x14ac:dyDescent="0.3">
      <c r="A102" s="261"/>
      <c r="B102" s="265"/>
      <c r="C102" s="266"/>
      <c r="D102" s="266"/>
      <c r="E102" s="266"/>
    </row>
    <row r="103" spans="1:5" ht="15.6" x14ac:dyDescent="0.3">
      <c r="A103" s="261"/>
      <c r="B103" s="265"/>
      <c r="C103" s="266"/>
      <c r="D103" s="266"/>
      <c r="E103" s="266"/>
    </row>
    <row r="104" spans="1:5" ht="15.6" x14ac:dyDescent="0.3">
      <c r="A104" s="261"/>
      <c r="B104" s="265"/>
      <c r="C104" s="266"/>
      <c r="D104" s="266"/>
      <c r="E104" s="266"/>
    </row>
    <row r="105" spans="1:5" x14ac:dyDescent="0.3">
      <c r="A105" s="261"/>
      <c r="B105" s="262"/>
      <c r="C105" s="267"/>
      <c r="D105" s="267"/>
      <c r="E105" s="267"/>
    </row>
    <row r="106" spans="1:5" ht="15.6" x14ac:dyDescent="0.3">
      <c r="A106" s="261"/>
      <c r="B106" s="263"/>
      <c r="C106" s="264"/>
      <c r="D106" s="264"/>
      <c r="E106" s="264"/>
    </row>
    <row r="107" spans="1:5" ht="15.6" x14ac:dyDescent="0.3">
      <c r="A107" s="261"/>
      <c r="B107" s="263"/>
      <c r="C107" s="264"/>
      <c r="D107" s="264"/>
      <c r="E107" s="264"/>
    </row>
    <row r="108" spans="1:5" x14ac:dyDescent="0.3">
      <c r="A108" s="261"/>
      <c r="B108" s="268"/>
      <c r="C108" s="269"/>
      <c r="D108" s="269"/>
      <c r="E108" s="269"/>
    </row>
    <row r="109" spans="1:5" x14ac:dyDescent="0.3">
      <c r="A109" s="261"/>
      <c r="B109" s="268"/>
      <c r="C109" s="269"/>
      <c r="D109" s="269"/>
      <c r="E109" s="269"/>
    </row>
    <row r="110" spans="1:5" x14ac:dyDescent="0.3">
      <c r="A110" s="261"/>
      <c r="B110" s="268"/>
      <c r="C110" s="269"/>
      <c r="D110" s="269"/>
      <c r="E110" s="269"/>
    </row>
    <row r="111" spans="1:5" x14ac:dyDescent="0.3">
      <c r="A111" s="261"/>
      <c r="B111" s="268"/>
      <c r="C111" s="269"/>
      <c r="D111" s="269"/>
      <c r="E111" s="269"/>
    </row>
    <row r="112" spans="1:5" ht="15.6" x14ac:dyDescent="0.3">
      <c r="A112" s="261"/>
      <c r="B112" s="263"/>
      <c r="C112" s="264"/>
      <c r="D112" s="264"/>
      <c r="E112" s="264"/>
    </row>
    <row r="113" spans="1:5" ht="15.6" x14ac:dyDescent="0.3">
      <c r="A113" s="261"/>
      <c r="B113" s="263"/>
      <c r="C113" s="264"/>
      <c r="D113" s="264"/>
      <c r="E113" s="264"/>
    </row>
    <row r="114" spans="1:5" ht="15.6" x14ac:dyDescent="0.3">
      <c r="A114" s="261"/>
      <c r="B114" s="265"/>
      <c r="C114" s="266"/>
      <c r="D114" s="266"/>
      <c r="E114" s="266"/>
    </row>
    <row r="115" spans="1:5" ht="15.6" x14ac:dyDescent="0.3">
      <c r="A115" s="261"/>
      <c r="B115" s="265"/>
      <c r="C115" s="266"/>
      <c r="D115" s="266"/>
      <c r="E115" s="266"/>
    </row>
    <row r="116" spans="1:5" x14ac:dyDescent="0.3">
      <c r="A116" s="261"/>
      <c r="B116" s="262"/>
      <c r="C116" s="28"/>
      <c r="D116" s="28"/>
      <c r="E116" s="28"/>
    </row>
    <row r="117" spans="1:5" x14ac:dyDescent="0.3">
      <c r="A117" s="261"/>
      <c r="B117" s="262"/>
      <c r="C117" s="28"/>
      <c r="D117" s="28"/>
      <c r="E117" s="28"/>
    </row>
    <row r="118" spans="1:5" x14ac:dyDescent="0.3">
      <c r="A118" s="261"/>
      <c r="B118" s="262"/>
      <c r="C118" s="28"/>
      <c r="D118" s="28"/>
      <c r="E118" s="28"/>
    </row>
    <row r="119" spans="1:5" x14ac:dyDescent="0.3">
      <c r="A119" s="261"/>
      <c r="B119" s="262"/>
      <c r="C119" s="28"/>
      <c r="D119" s="28"/>
      <c r="E119" s="28"/>
    </row>
    <row r="120" spans="1:5" x14ac:dyDescent="0.3">
      <c r="A120" s="261"/>
      <c r="B120" s="262"/>
      <c r="C120" s="28"/>
      <c r="D120" s="28"/>
      <c r="E120" s="28"/>
    </row>
    <row r="121" spans="1:5" x14ac:dyDescent="0.3">
      <c r="A121" s="261"/>
      <c r="B121" s="262"/>
      <c r="C121" s="28"/>
      <c r="D121" s="28"/>
      <c r="E121" s="28"/>
    </row>
    <row r="122" spans="1:5" x14ac:dyDescent="0.3">
      <c r="A122" s="261"/>
      <c r="B122" s="262"/>
      <c r="C122" s="28"/>
      <c r="D122" s="28"/>
      <c r="E122" s="28"/>
    </row>
    <row r="123" spans="1:5" x14ac:dyDescent="0.3">
      <c r="A123" s="261"/>
      <c r="B123" s="262"/>
      <c r="C123" s="28"/>
      <c r="D123" s="28"/>
      <c r="E123" s="28"/>
    </row>
    <row r="124" spans="1:5" x14ac:dyDescent="0.3">
      <c r="A124" s="261"/>
      <c r="B124" s="262"/>
      <c r="C124" s="28"/>
      <c r="D124" s="28"/>
      <c r="E124" s="28"/>
    </row>
    <row r="125" spans="1:5" x14ac:dyDescent="0.3">
      <c r="A125" s="261"/>
      <c r="B125" s="262"/>
      <c r="C125" s="28"/>
      <c r="D125" s="28"/>
      <c r="E125" s="28"/>
    </row>
    <row r="126" spans="1:5" x14ac:dyDescent="0.3">
      <c r="A126" s="261"/>
      <c r="B126" s="262"/>
      <c r="C126" s="28"/>
      <c r="D126" s="28"/>
      <c r="E126" s="28"/>
    </row>
    <row r="127" spans="1:5" x14ac:dyDescent="0.3">
      <c r="A127" s="261"/>
      <c r="B127" s="262"/>
      <c r="C127" s="28"/>
      <c r="D127" s="28"/>
      <c r="E127" s="28"/>
    </row>
    <row r="128" spans="1:5" x14ac:dyDescent="0.3">
      <c r="A128" s="261"/>
      <c r="B128" s="262"/>
      <c r="C128" s="28"/>
      <c r="D128" s="28"/>
      <c r="E128" s="28"/>
    </row>
    <row r="129" spans="1:5" x14ac:dyDescent="0.3">
      <c r="A129" s="261"/>
      <c r="B129" s="262"/>
      <c r="C129" s="28"/>
      <c r="D129" s="28"/>
      <c r="E129" s="28"/>
    </row>
    <row r="130" spans="1:5" x14ac:dyDescent="0.3">
      <c r="A130" s="261"/>
      <c r="B130" s="262"/>
      <c r="C130" s="28"/>
      <c r="D130" s="28"/>
      <c r="E130" s="28"/>
    </row>
    <row r="131" spans="1:5" x14ac:dyDescent="0.3">
      <c r="A131" s="261"/>
      <c r="B131" s="262"/>
      <c r="C131" s="28"/>
      <c r="D131" s="28"/>
      <c r="E131" s="28"/>
    </row>
    <row r="132" spans="1:5" x14ac:dyDescent="0.3">
      <c r="A132" s="261"/>
      <c r="B132" s="262"/>
      <c r="C132" s="28"/>
      <c r="D132" s="28"/>
      <c r="E132" s="28"/>
    </row>
    <row r="133" spans="1:5" x14ac:dyDescent="0.3">
      <c r="A133" s="261"/>
      <c r="B133" s="262"/>
      <c r="C133" s="28"/>
      <c r="D133" s="28"/>
      <c r="E133" s="28"/>
    </row>
    <row r="134" spans="1:5" x14ac:dyDescent="0.3">
      <c r="A134" s="261"/>
      <c r="B134" s="262"/>
      <c r="C134" s="28"/>
      <c r="D134" s="28"/>
      <c r="E134" s="28"/>
    </row>
    <row r="135" spans="1:5" x14ac:dyDescent="0.3">
      <c r="A135" s="261"/>
      <c r="B135" s="262"/>
      <c r="C135" s="28"/>
      <c r="D135" s="28"/>
      <c r="E135" s="28"/>
    </row>
    <row r="136" spans="1:5" x14ac:dyDescent="0.3">
      <c r="A136" s="261"/>
      <c r="B136" s="262"/>
      <c r="C136" s="28"/>
      <c r="D136" s="28"/>
      <c r="E136" s="28"/>
    </row>
    <row r="137" spans="1:5" x14ac:dyDescent="0.3">
      <c r="A137" s="261"/>
      <c r="B137" s="262"/>
      <c r="C137" s="28"/>
      <c r="D137" s="28"/>
      <c r="E137" s="28"/>
    </row>
    <row r="138" spans="1:5" x14ac:dyDescent="0.3">
      <c r="A138" s="261"/>
      <c r="B138" s="262"/>
      <c r="C138" s="28"/>
      <c r="D138" s="28"/>
      <c r="E138" s="28"/>
    </row>
    <row r="139" spans="1:5" x14ac:dyDescent="0.3">
      <c r="A139" s="261"/>
      <c r="B139" s="262"/>
      <c r="C139" s="28"/>
      <c r="D139" s="28"/>
      <c r="E139" s="28"/>
    </row>
    <row r="140" spans="1:5" x14ac:dyDescent="0.3">
      <c r="A140" s="261"/>
      <c r="B140" s="262"/>
      <c r="C140" s="28"/>
      <c r="D140" s="28"/>
      <c r="E140" s="28"/>
    </row>
    <row r="141" spans="1:5" x14ac:dyDescent="0.3">
      <c r="A141" s="261"/>
      <c r="B141" s="262"/>
      <c r="C141" s="28"/>
      <c r="D141" s="28"/>
      <c r="E141" s="28"/>
    </row>
    <row r="142" spans="1:5" x14ac:dyDescent="0.3">
      <c r="A142" s="261"/>
      <c r="B142" s="262"/>
      <c r="C142" s="28"/>
      <c r="D142" s="28"/>
      <c r="E142" s="28"/>
    </row>
    <row r="143" spans="1:5" x14ac:dyDescent="0.3">
      <c r="A143" s="261"/>
      <c r="B143" s="262"/>
      <c r="C143" s="28"/>
      <c r="D143" s="28"/>
      <c r="E143" s="28"/>
    </row>
    <row r="144" spans="1:5" x14ac:dyDescent="0.3">
      <c r="A144" s="261"/>
      <c r="B144" s="262"/>
      <c r="C144" s="28"/>
      <c r="D144" s="28"/>
      <c r="E144" s="28"/>
    </row>
    <row r="145" spans="1:5" x14ac:dyDescent="0.3">
      <c r="A145" s="261"/>
      <c r="B145" s="262"/>
      <c r="C145" s="28"/>
      <c r="D145" s="28"/>
      <c r="E145" s="28"/>
    </row>
    <row r="146" spans="1:5" x14ac:dyDescent="0.3">
      <c r="A146" s="261"/>
      <c r="B146" s="262"/>
      <c r="C146" s="28"/>
      <c r="D146" s="28"/>
      <c r="E146" s="28"/>
    </row>
    <row r="147" spans="1:5" x14ac:dyDescent="0.3">
      <c r="A147" s="261"/>
      <c r="B147" s="262"/>
      <c r="C147" s="28"/>
      <c r="D147" s="28"/>
      <c r="E147" s="28"/>
    </row>
    <row r="148" spans="1:5" x14ac:dyDescent="0.3">
      <c r="A148" s="261"/>
      <c r="B148" s="262"/>
      <c r="C148" s="28"/>
      <c r="D148" s="28"/>
      <c r="E148" s="28"/>
    </row>
    <row r="149" spans="1:5" x14ac:dyDescent="0.3">
      <c r="A149" s="261"/>
      <c r="B149" s="262"/>
      <c r="C149" s="28"/>
      <c r="D149" s="28"/>
      <c r="E149" s="28"/>
    </row>
    <row r="150" spans="1:5" x14ac:dyDescent="0.3">
      <c r="A150" s="261"/>
      <c r="B150" s="262"/>
      <c r="C150" s="28"/>
      <c r="D150" s="28"/>
      <c r="E150" s="28"/>
    </row>
    <row r="151" spans="1:5" x14ac:dyDescent="0.3">
      <c r="A151" s="261"/>
      <c r="B151" s="262"/>
      <c r="C151" s="28"/>
      <c r="D151" s="28"/>
      <c r="E151" s="28"/>
    </row>
    <row r="152" spans="1:5" x14ac:dyDescent="0.3">
      <c r="A152" s="261"/>
      <c r="B152" s="262"/>
      <c r="C152" s="28"/>
      <c r="D152" s="28"/>
      <c r="E152" s="28"/>
    </row>
    <row r="153" spans="1:5" x14ac:dyDescent="0.3">
      <c r="A153" s="261"/>
      <c r="B153" s="262"/>
      <c r="C153" s="28"/>
      <c r="D153" s="28"/>
      <c r="E153" s="28"/>
    </row>
    <row r="154" spans="1:5" x14ac:dyDescent="0.3">
      <c r="A154" s="261"/>
      <c r="B154" s="262"/>
      <c r="C154" s="28"/>
      <c r="D154" s="28"/>
      <c r="E154" s="28"/>
    </row>
  </sheetData>
  <sheetProtection algorithmName="SHA-512" hashValue="h8PxEf561bmgk/8i0LUF74Lyw8sh+yVWvDu8aAHvsoJIHiAz4HuK3Zuzct+iqYML1lfFq3M2QckTHB/UsTFfXQ==" saltValue="xyhA7OWv6mFIxZd25t3ueg==" spinCount="100000" sheet="1" objects="1" scenarios="1"/>
  <mergeCells count="4">
    <mergeCell ref="B4:E4"/>
    <mergeCell ref="B6:E6"/>
    <mergeCell ref="B7:E7"/>
    <mergeCell ref="B8:E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A129"/>
  <sheetViews>
    <sheetView workbookViewId="0">
      <pane xSplit="1" topLeftCell="B1" activePane="topRight" state="frozen"/>
      <selection pane="topRight" sqref="A1:XFD1048576"/>
    </sheetView>
  </sheetViews>
  <sheetFormatPr baseColWidth="10" defaultRowHeight="14.4" x14ac:dyDescent="0.3"/>
  <cols>
    <col min="1" max="1" width="53.109375" style="2" customWidth="1"/>
    <col min="2" max="2" width="2.6640625" style="203" customWidth="1"/>
    <col min="3" max="3" width="12.6640625" style="3" customWidth="1"/>
    <col min="4" max="4" width="11.5546875" style="3" customWidth="1"/>
    <col min="5" max="5" width="2.6640625" style="203" customWidth="1"/>
    <col min="6" max="6" width="12.6640625" style="3" customWidth="1"/>
    <col min="7" max="7" width="11.5546875" style="3" customWidth="1"/>
    <col min="8" max="8" width="2.6640625" style="3" customWidth="1"/>
    <col min="9" max="9" width="12.6640625" style="3" customWidth="1"/>
    <col min="10" max="10" width="11.5546875" style="3" customWidth="1"/>
    <col min="11" max="11" width="2.6640625" style="203" customWidth="1"/>
    <col min="12" max="12" width="12.6640625" style="3" customWidth="1"/>
    <col min="13" max="13" width="11.5546875" style="3" customWidth="1"/>
    <col min="14" max="14" width="2.6640625" style="3" customWidth="1"/>
    <col min="15" max="15" width="12.6640625" style="3" customWidth="1"/>
    <col min="16" max="16" width="11.5546875" style="3" customWidth="1"/>
    <col min="17" max="17" width="2.6640625" style="203" customWidth="1"/>
    <col min="18" max="18" width="12.6640625" style="3" customWidth="1"/>
    <col min="19" max="19" width="11.44140625" style="3" customWidth="1"/>
    <col min="20" max="20" width="2.6640625" style="203" customWidth="1"/>
    <col min="21" max="21" width="12.6640625" style="3" customWidth="1"/>
    <col min="22" max="22" width="11.5546875" style="3" customWidth="1"/>
    <col min="23" max="23" width="2.6640625" style="3" customWidth="1"/>
    <col min="24" max="24" width="12.6640625" style="3" customWidth="1"/>
    <col min="25" max="25" width="11.44140625" style="3" customWidth="1"/>
    <col min="26" max="26" width="2.6640625" style="3" customWidth="1"/>
    <col min="27" max="27" width="12.6640625" style="3" customWidth="1"/>
    <col min="28" max="28" width="11.44140625" style="3" customWidth="1"/>
    <col min="29" max="29" width="2.6640625" style="3" customWidth="1"/>
    <col min="30" max="30" width="12.6640625" style="3" customWidth="1"/>
    <col min="31" max="31" width="11.44140625" style="3" customWidth="1"/>
    <col min="32" max="32" width="2.6640625" style="203" customWidth="1"/>
    <col min="33" max="33" width="12.6640625" style="3" customWidth="1"/>
    <col min="34" max="34" width="11.44140625" style="3" customWidth="1"/>
    <col min="35" max="35" width="2.6640625" style="203" customWidth="1"/>
    <col min="36" max="36" width="12.6640625" style="3" customWidth="1"/>
    <col min="37" max="37" width="11.5546875" style="3" customWidth="1"/>
    <col min="38" max="38" width="2.6640625" style="203" customWidth="1"/>
    <col min="39" max="39" width="12.6640625" style="3" customWidth="1"/>
    <col min="40" max="40" width="11.5546875" style="3" customWidth="1"/>
    <col min="41" max="41" width="2.6640625" style="203" customWidth="1"/>
    <col min="42" max="42" width="12.6640625" style="3" customWidth="1"/>
    <col min="43" max="43" width="11.5546875" style="3" customWidth="1"/>
    <col min="44" max="44" width="2.6640625" style="3" customWidth="1"/>
    <col min="45" max="45" width="12.6640625" style="3" customWidth="1"/>
    <col min="46" max="46" width="11.5546875" style="3" customWidth="1"/>
    <col min="47" max="47" width="2.6640625" style="203" customWidth="1"/>
    <col min="48" max="48" width="12.6640625" style="3" customWidth="1"/>
    <col min="49" max="49" width="11.5546875" style="3"/>
    <col min="50" max="50" width="2.6640625" style="203" customWidth="1"/>
    <col min="51" max="51" width="12.6640625" style="3" customWidth="1"/>
    <col min="52" max="52" width="11.5546875" style="3"/>
    <col min="53" max="265" width="11.44140625" style="2"/>
    <col min="266" max="266" width="53.109375" style="2" customWidth="1"/>
    <col min="267" max="267" width="2.6640625" style="2" customWidth="1"/>
    <col min="268" max="268" width="12.6640625" style="2" customWidth="1"/>
    <col min="269" max="269" width="11.44140625" style="2"/>
    <col min="270" max="270" width="2.6640625" style="2" customWidth="1"/>
    <col min="271" max="271" width="12.6640625" style="2" customWidth="1"/>
    <col min="272" max="272" width="11.44140625" style="2"/>
    <col min="273" max="273" width="2.6640625" style="2" customWidth="1"/>
    <col min="274" max="274" width="12.6640625" style="2" customWidth="1"/>
    <col min="275" max="275" width="11.44140625" style="2"/>
    <col min="276" max="276" width="2.6640625" style="2" customWidth="1"/>
    <col min="277" max="277" width="12.6640625" style="2" customWidth="1"/>
    <col min="278" max="278" width="11.44140625" style="2" customWidth="1"/>
    <col min="279" max="279" width="2.6640625" style="2" customWidth="1"/>
    <col min="280" max="280" width="12.6640625" style="2" customWidth="1"/>
    <col min="281" max="281" width="11.44140625" style="2"/>
    <col min="282" max="282" width="2.6640625" style="2" customWidth="1"/>
    <col min="283" max="283" width="12.6640625" style="2" customWidth="1"/>
    <col min="284" max="284" width="11.44140625" style="2" customWidth="1"/>
    <col min="285" max="285" width="2.6640625" style="2" customWidth="1"/>
    <col min="286" max="286" width="12.6640625" style="2" customWidth="1"/>
    <col min="287" max="287" width="11.44140625" style="2" customWidth="1"/>
    <col min="288" max="288" width="2.6640625" style="2" customWidth="1"/>
    <col min="289" max="289" width="12.6640625" style="2" customWidth="1"/>
    <col min="290" max="290" width="11.44140625" style="2" customWidth="1"/>
    <col min="291" max="291" width="2.6640625" style="2" customWidth="1"/>
    <col min="292" max="292" width="12.6640625" style="2" customWidth="1"/>
    <col min="293" max="293" width="11.44140625" style="2" customWidth="1"/>
    <col min="294" max="294" width="2.6640625" style="2" customWidth="1"/>
    <col min="295" max="295" width="12.6640625" style="2" customWidth="1"/>
    <col min="296" max="296" width="11.44140625" style="2"/>
    <col min="297" max="297" width="2.6640625" style="2" customWidth="1"/>
    <col min="298" max="298" width="12.6640625" style="2" customWidth="1"/>
    <col min="299" max="299" width="11.44140625" style="2"/>
    <col min="300" max="300" width="2.6640625" style="2" customWidth="1"/>
    <col min="301" max="301" width="12.6640625" style="2" customWidth="1"/>
    <col min="302" max="521" width="11.44140625" style="2"/>
    <col min="522" max="522" width="53.109375" style="2" customWidth="1"/>
    <col min="523" max="523" width="2.6640625" style="2" customWidth="1"/>
    <col min="524" max="524" width="12.6640625" style="2" customWidth="1"/>
    <col min="525" max="525" width="11.44140625" style="2"/>
    <col min="526" max="526" width="2.6640625" style="2" customWidth="1"/>
    <col min="527" max="527" width="12.6640625" style="2" customWidth="1"/>
    <col min="528" max="528" width="11.44140625" style="2"/>
    <col min="529" max="529" width="2.6640625" style="2" customWidth="1"/>
    <col min="530" max="530" width="12.6640625" style="2" customWidth="1"/>
    <col min="531" max="531" width="11.44140625" style="2"/>
    <col min="532" max="532" width="2.6640625" style="2" customWidth="1"/>
    <col min="533" max="533" width="12.6640625" style="2" customWidth="1"/>
    <col min="534" max="534" width="11.44140625" style="2" customWidth="1"/>
    <col min="535" max="535" width="2.6640625" style="2" customWidth="1"/>
    <col min="536" max="536" width="12.6640625" style="2" customWidth="1"/>
    <col min="537" max="537" width="11.44140625" style="2"/>
    <col min="538" max="538" width="2.6640625" style="2" customWidth="1"/>
    <col min="539" max="539" width="12.6640625" style="2" customWidth="1"/>
    <col min="540" max="540" width="11.44140625" style="2" customWidth="1"/>
    <col min="541" max="541" width="2.6640625" style="2" customWidth="1"/>
    <col min="542" max="542" width="12.6640625" style="2" customWidth="1"/>
    <col min="543" max="543" width="11.44140625" style="2" customWidth="1"/>
    <col min="544" max="544" width="2.6640625" style="2" customWidth="1"/>
    <col min="545" max="545" width="12.6640625" style="2" customWidth="1"/>
    <col min="546" max="546" width="11.44140625" style="2" customWidth="1"/>
    <col min="547" max="547" width="2.6640625" style="2" customWidth="1"/>
    <col min="548" max="548" width="12.6640625" style="2" customWidth="1"/>
    <col min="549" max="549" width="11.44140625" style="2" customWidth="1"/>
    <col min="550" max="550" width="2.6640625" style="2" customWidth="1"/>
    <col min="551" max="551" width="12.6640625" style="2" customWidth="1"/>
    <col min="552" max="552" width="11.44140625" style="2"/>
    <col min="553" max="553" width="2.6640625" style="2" customWidth="1"/>
    <col min="554" max="554" width="12.6640625" style="2" customWidth="1"/>
    <col min="555" max="555" width="11.44140625" style="2"/>
    <col min="556" max="556" width="2.6640625" style="2" customWidth="1"/>
    <col min="557" max="557" width="12.6640625" style="2" customWidth="1"/>
    <col min="558" max="777" width="11.44140625" style="2"/>
    <col min="778" max="778" width="53.109375" style="2" customWidth="1"/>
    <col min="779" max="779" width="2.6640625" style="2" customWidth="1"/>
    <col min="780" max="780" width="12.6640625" style="2" customWidth="1"/>
    <col min="781" max="781" width="11.44140625" style="2"/>
    <col min="782" max="782" width="2.6640625" style="2" customWidth="1"/>
    <col min="783" max="783" width="12.6640625" style="2" customWidth="1"/>
    <col min="784" max="784" width="11.44140625" style="2"/>
    <col min="785" max="785" width="2.6640625" style="2" customWidth="1"/>
    <col min="786" max="786" width="12.6640625" style="2" customWidth="1"/>
    <col min="787" max="787" width="11.44140625" style="2"/>
    <col min="788" max="788" width="2.6640625" style="2" customWidth="1"/>
    <col min="789" max="789" width="12.6640625" style="2" customWidth="1"/>
    <col min="790" max="790" width="11.44140625" style="2" customWidth="1"/>
    <col min="791" max="791" width="2.6640625" style="2" customWidth="1"/>
    <col min="792" max="792" width="12.6640625" style="2" customWidth="1"/>
    <col min="793" max="793" width="11.44140625" style="2"/>
    <col min="794" max="794" width="2.6640625" style="2" customWidth="1"/>
    <col min="795" max="795" width="12.6640625" style="2" customWidth="1"/>
    <col min="796" max="796" width="11.44140625" style="2" customWidth="1"/>
    <col min="797" max="797" width="2.6640625" style="2" customWidth="1"/>
    <col min="798" max="798" width="12.6640625" style="2" customWidth="1"/>
    <col min="799" max="799" width="11.44140625" style="2" customWidth="1"/>
    <col min="800" max="800" width="2.6640625" style="2" customWidth="1"/>
    <col min="801" max="801" width="12.6640625" style="2" customWidth="1"/>
    <col min="802" max="802" width="11.44140625" style="2" customWidth="1"/>
    <col min="803" max="803" width="2.6640625" style="2" customWidth="1"/>
    <col min="804" max="804" width="12.6640625" style="2" customWidth="1"/>
    <col min="805" max="805" width="11.44140625" style="2" customWidth="1"/>
    <col min="806" max="806" width="2.6640625" style="2" customWidth="1"/>
    <col min="807" max="807" width="12.6640625" style="2" customWidth="1"/>
    <col min="808" max="808" width="11.44140625" style="2"/>
    <col min="809" max="809" width="2.6640625" style="2" customWidth="1"/>
    <col min="810" max="810" width="12.6640625" style="2" customWidth="1"/>
    <col min="811" max="811" width="11.44140625" style="2"/>
    <col min="812" max="812" width="2.6640625" style="2" customWidth="1"/>
    <col min="813" max="813" width="12.6640625" style="2" customWidth="1"/>
    <col min="814" max="1033" width="11.44140625" style="2"/>
    <col min="1034" max="1034" width="53.109375" style="2" customWidth="1"/>
    <col min="1035" max="1035" width="2.6640625" style="2" customWidth="1"/>
    <col min="1036" max="1036" width="12.6640625" style="2" customWidth="1"/>
    <col min="1037" max="1037" width="11.44140625" style="2"/>
    <col min="1038" max="1038" width="2.6640625" style="2" customWidth="1"/>
    <col min="1039" max="1039" width="12.6640625" style="2" customWidth="1"/>
    <col min="1040" max="1040" width="11.44140625" style="2"/>
    <col min="1041" max="1041" width="2.6640625" style="2" customWidth="1"/>
    <col min="1042" max="1042" width="12.6640625" style="2" customWidth="1"/>
    <col min="1043" max="1043" width="11.44140625" style="2"/>
    <col min="1044" max="1044" width="2.6640625" style="2" customWidth="1"/>
    <col min="1045" max="1045" width="12.6640625" style="2" customWidth="1"/>
    <col min="1046" max="1046" width="11.44140625" style="2" customWidth="1"/>
    <col min="1047" max="1047" width="2.6640625" style="2" customWidth="1"/>
    <col min="1048" max="1048" width="12.6640625" style="2" customWidth="1"/>
    <col min="1049" max="1049" width="11.44140625" style="2"/>
    <col min="1050" max="1050" width="2.6640625" style="2" customWidth="1"/>
    <col min="1051" max="1051" width="12.6640625" style="2" customWidth="1"/>
    <col min="1052" max="1052" width="11.44140625" style="2" customWidth="1"/>
    <col min="1053" max="1053" width="2.6640625" style="2" customWidth="1"/>
    <col min="1054" max="1054" width="12.6640625" style="2" customWidth="1"/>
    <col min="1055" max="1055" width="11.44140625" style="2" customWidth="1"/>
    <col min="1056" max="1056" width="2.6640625" style="2" customWidth="1"/>
    <col min="1057" max="1057" width="12.6640625" style="2" customWidth="1"/>
    <col min="1058" max="1058" width="11.44140625" style="2" customWidth="1"/>
    <col min="1059" max="1059" width="2.6640625" style="2" customWidth="1"/>
    <col min="1060" max="1060" width="12.6640625" style="2" customWidth="1"/>
    <col min="1061" max="1061" width="11.44140625" style="2" customWidth="1"/>
    <col min="1062" max="1062" width="2.6640625" style="2" customWidth="1"/>
    <col min="1063" max="1063" width="12.6640625" style="2" customWidth="1"/>
    <col min="1064" max="1064" width="11.44140625" style="2"/>
    <col min="1065" max="1065" width="2.6640625" style="2" customWidth="1"/>
    <col min="1066" max="1066" width="12.6640625" style="2" customWidth="1"/>
    <col min="1067" max="1067" width="11.44140625" style="2"/>
    <col min="1068" max="1068" width="2.6640625" style="2" customWidth="1"/>
    <col min="1069" max="1069" width="12.6640625" style="2" customWidth="1"/>
    <col min="1070" max="1289" width="11.44140625" style="2"/>
    <col min="1290" max="1290" width="53.109375" style="2" customWidth="1"/>
    <col min="1291" max="1291" width="2.6640625" style="2" customWidth="1"/>
    <col min="1292" max="1292" width="12.6640625" style="2" customWidth="1"/>
    <col min="1293" max="1293" width="11.44140625" style="2"/>
    <col min="1294" max="1294" width="2.6640625" style="2" customWidth="1"/>
    <col min="1295" max="1295" width="12.6640625" style="2" customWidth="1"/>
    <col min="1296" max="1296" width="11.44140625" style="2"/>
    <col min="1297" max="1297" width="2.6640625" style="2" customWidth="1"/>
    <col min="1298" max="1298" width="12.6640625" style="2" customWidth="1"/>
    <col min="1299" max="1299" width="11.44140625" style="2"/>
    <col min="1300" max="1300" width="2.6640625" style="2" customWidth="1"/>
    <col min="1301" max="1301" width="12.6640625" style="2" customWidth="1"/>
    <col min="1302" max="1302" width="11.44140625" style="2" customWidth="1"/>
    <col min="1303" max="1303" width="2.6640625" style="2" customWidth="1"/>
    <col min="1304" max="1304" width="12.6640625" style="2" customWidth="1"/>
    <col min="1305" max="1305" width="11.44140625" style="2"/>
    <col min="1306" max="1306" width="2.6640625" style="2" customWidth="1"/>
    <col min="1307" max="1307" width="12.6640625" style="2" customWidth="1"/>
    <col min="1308" max="1308" width="11.44140625" style="2" customWidth="1"/>
    <col min="1309" max="1309" width="2.6640625" style="2" customWidth="1"/>
    <col min="1310" max="1310" width="12.6640625" style="2" customWidth="1"/>
    <col min="1311" max="1311" width="11.44140625" style="2" customWidth="1"/>
    <col min="1312" max="1312" width="2.6640625" style="2" customWidth="1"/>
    <col min="1313" max="1313" width="12.6640625" style="2" customWidth="1"/>
    <col min="1314" max="1314" width="11.44140625" style="2" customWidth="1"/>
    <col min="1315" max="1315" width="2.6640625" style="2" customWidth="1"/>
    <col min="1316" max="1316" width="12.6640625" style="2" customWidth="1"/>
    <col min="1317" max="1317" width="11.44140625" style="2" customWidth="1"/>
    <col min="1318" max="1318" width="2.6640625" style="2" customWidth="1"/>
    <col min="1319" max="1319" width="12.6640625" style="2" customWidth="1"/>
    <col min="1320" max="1320" width="11.44140625" style="2"/>
    <col min="1321" max="1321" width="2.6640625" style="2" customWidth="1"/>
    <col min="1322" max="1322" width="12.6640625" style="2" customWidth="1"/>
    <col min="1323" max="1323" width="11.44140625" style="2"/>
    <col min="1324" max="1324" width="2.6640625" style="2" customWidth="1"/>
    <col min="1325" max="1325" width="12.6640625" style="2" customWidth="1"/>
    <col min="1326" max="1545" width="11.44140625" style="2"/>
    <col min="1546" max="1546" width="53.109375" style="2" customWidth="1"/>
    <col min="1547" max="1547" width="2.6640625" style="2" customWidth="1"/>
    <col min="1548" max="1548" width="12.6640625" style="2" customWidth="1"/>
    <col min="1549" max="1549" width="11.44140625" style="2"/>
    <col min="1550" max="1550" width="2.6640625" style="2" customWidth="1"/>
    <col min="1551" max="1551" width="12.6640625" style="2" customWidth="1"/>
    <col min="1552" max="1552" width="11.44140625" style="2"/>
    <col min="1553" max="1553" width="2.6640625" style="2" customWidth="1"/>
    <col min="1554" max="1554" width="12.6640625" style="2" customWidth="1"/>
    <col min="1555" max="1555" width="11.44140625" style="2"/>
    <col min="1556" max="1556" width="2.6640625" style="2" customWidth="1"/>
    <col min="1557" max="1557" width="12.6640625" style="2" customWidth="1"/>
    <col min="1558" max="1558" width="11.44140625" style="2" customWidth="1"/>
    <col min="1559" max="1559" width="2.6640625" style="2" customWidth="1"/>
    <col min="1560" max="1560" width="12.6640625" style="2" customWidth="1"/>
    <col min="1561" max="1561" width="11.44140625" style="2"/>
    <col min="1562" max="1562" width="2.6640625" style="2" customWidth="1"/>
    <col min="1563" max="1563" width="12.6640625" style="2" customWidth="1"/>
    <col min="1564" max="1564" width="11.44140625" style="2" customWidth="1"/>
    <col min="1565" max="1565" width="2.6640625" style="2" customWidth="1"/>
    <col min="1566" max="1566" width="12.6640625" style="2" customWidth="1"/>
    <col min="1567" max="1567" width="11.44140625" style="2" customWidth="1"/>
    <col min="1568" max="1568" width="2.6640625" style="2" customWidth="1"/>
    <col min="1569" max="1569" width="12.6640625" style="2" customWidth="1"/>
    <col min="1570" max="1570" width="11.44140625" style="2" customWidth="1"/>
    <col min="1571" max="1571" width="2.6640625" style="2" customWidth="1"/>
    <col min="1572" max="1572" width="12.6640625" style="2" customWidth="1"/>
    <col min="1573" max="1573" width="11.44140625" style="2" customWidth="1"/>
    <col min="1574" max="1574" width="2.6640625" style="2" customWidth="1"/>
    <col min="1575" max="1575" width="12.6640625" style="2" customWidth="1"/>
    <col min="1576" max="1576" width="11.44140625" style="2"/>
    <col min="1577" max="1577" width="2.6640625" style="2" customWidth="1"/>
    <col min="1578" max="1578" width="12.6640625" style="2" customWidth="1"/>
    <col min="1579" max="1579" width="11.44140625" style="2"/>
    <col min="1580" max="1580" width="2.6640625" style="2" customWidth="1"/>
    <col min="1581" max="1581" width="12.6640625" style="2" customWidth="1"/>
    <col min="1582" max="1801" width="11.44140625" style="2"/>
    <col min="1802" max="1802" width="53.109375" style="2" customWidth="1"/>
    <col min="1803" max="1803" width="2.6640625" style="2" customWidth="1"/>
    <col min="1804" max="1804" width="12.6640625" style="2" customWidth="1"/>
    <col min="1805" max="1805" width="11.44140625" style="2"/>
    <col min="1806" max="1806" width="2.6640625" style="2" customWidth="1"/>
    <col min="1807" max="1807" width="12.6640625" style="2" customWidth="1"/>
    <col min="1808" max="1808" width="11.44140625" style="2"/>
    <col min="1809" max="1809" width="2.6640625" style="2" customWidth="1"/>
    <col min="1810" max="1810" width="12.6640625" style="2" customWidth="1"/>
    <col min="1811" max="1811" width="11.44140625" style="2"/>
    <col min="1812" max="1812" width="2.6640625" style="2" customWidth="1"/>
    <col min="1813" max="1813" width="12.6640625" style="2" customWidth="1"/>
    <col min="1814" max="1814" width="11.44140625" style="2" customWidth="1"/>
    <col min="1815" max="1815" width="2.6640625" style="2" customWidth="1"/>
    <col min="1816" max="1816" width="12.6640625" style="2" customWidth="1"/>
    <col min="1817" max="1817" width="11.44140625" style="2"/>
    <col min="1818" max="1818" width="2.6640625" style="2" customWidth="1"/>
    <col min="1819" max="1819" width="12.6640625" style="2" customWidth="1"/>
    <col min="1820" max="1820" width="11.44140625" style="2" customWidth="1"/>
    <col min="1821" max="1821" width="2.6640625" style="2" customWidth="1"/>
    <col min="1822" max="1822" width="12.6640625" style="2" customWidth="1"/>
    <col min="1823" max="1823" width="11.44140625" style="2" customWidth="1"/>
    <col min="1824" max="1824" width="2.6640625" style="2" customWidth="1"/>
    <col min="1825" max="1825" width="12.6640625" style="2" customWidth="1"/>
    <col min="1826" max="1826" width="11.44140625" style="2" customWidth="1"/>
    <col min="1827" max="1827" width="2.6640625" style="2" customWidth="1"/>
    <col min="1828" max="1828" width="12.6640625" style="2" customWidth="1"/>
    <col min="1829" max="1829" width="11.44140625" style="2" customWidth="1"/>
    <col min="1830" max="1830" width="2.6640625" style="2" customWidth="1"/>
    <col min="1831" max="1831" width="12.6640625" style="2" customWidth="1"/>
    <col min="1832" max="1832" width="11.44140625" style="2"/>
    <col min="1833" max="1833" width="2.6640625" style="2" customWidth="1"/>
    <col min="1834" max="1834" width="12.6640625" style="2" customWidth="1"/>
    <col min="1835" max="1835" width="11.44140625" style="2"/>
    <col min="1836" max="1836" width="2.6640625" style="2" customWidth="1"/>
    <col min="1837" max="1837" width="12.6640625" style="2" customWidth="1"/>
    <col min="1838" max="2057" width="11.44140625" style="2"/>
    <col min="2058" max="2058" width="53.109375" style="2" customWidth="1"/>
    <col min="2059" max="2059" width="2.6640625" style="2" customWidth="1"/>
    <col min="2060" max="2060" width="12.6640625" style="2" customWidth="1"/>
    <col min="2061" max="2061" width="11.44140625" style="2"/>
    <col min="2062" max="2062" width="2.6640625" style="2" customWidth="1"/>
    <col min="2063" max="2063" width="12.6640625" style="2" customWidth="1"/>
    <col min="2064" max="2064" width="11.44140625" style="2"/>
    <col min="2065" max="2065" width="2.6640625" style="2" customWidth="1"/>
    <col min="2066" max="2066" width="12.6640625" style="2" customWidth="1"/>
    <col min="2067" max="2067" width="11.44140625" style="2"/>
    <col min="2068" max="2068" width="2.6640625" style="2" customWidth="1"/>
    <col min="2069" max="2069" width="12.6640625" style="2" customWidth="1"/>
    <col min="2070" max="2070" width="11.44140625" style="2" customWidth="1"/>
    <col min="2071" max="2071" width="2.6640625" style="2" customWidth="1"/>
    <col min="2072" max="2072" width="12.6640625" style="2" customWidth="1"/>
    <col min="2073" max="2073" width="11.44140625" style="2"/>
    <col min="2074" max="2074" width="2.6640625" style="2" customWidth="1"/>
    <col min="2075" max="2075" width="12.6640625" style="2" customWidth="1"/>
    <col min="2076" max="2076" width="11.44140625" style="2" customWidth="1"/>
    <col min="2077" max="2077" width="2.6640625" style="2" customWidth="1"/>
    <col min="2078" max="2078" width="12.6640625" style="2" customWidth="1"/>
    <col min="2079" max="2079" width="11.44140625" style="2" customWidth="1"/>
    <col min="2080" max="2080" width="2.6640625" style="2" customWidth="1"/>
    <col min="2081" max="2081" width="12.6640625" style="2" customWidth="1"/>
    <col min="2082" max="2082" width="11.44140625" style="2" customWidth="1"/>
    <col min="2083" max="2083" width="2.6640625" style="2" customWidth="1"/>
    <col min="2084" max="2084" width="12.6640625" style="2" customWidth="1"/>
    <col min="2085" max="2085" width="11.44140625" style="2" customWidth="1"/>
    <col min="2086" max="2086" width="2.6640625" style="2" customWidth="1"/>
    <col min="2087" max="2087" width="12.6640625" style="2" customWidth="1"/>
    <col min="2088" max="2088" width="11.44140625" style="2"/>
    <col min="2089" max="2089" width="2.6640625" style="2" customWidth="1"/>
    <col min="2090" max="2090" width="12.6640625" style="2" customWidth="1"/>
    <col min="2091" max="2091" width="11.44140625" style="2"/>
    <col min="2092" max="2092" width="2.6640625" style="2" customWidth="1"/>
    <col min="2093" max="2093" width="12.6640625" style="2" customWidth="1"/>
    <col min="2094" max="2313" width="11.44140625" style="2"/>
    <col min="2314" max="2314" width="53.109375" style="2" customWidth="1"/>
    <col min="2315" max="2315" width="2.6640625" style="2" customWidth="1"/>
    <col min="2316" max="2316" width="12.6640625" style="2" customWidth="1"/>
    <col min="2317" max="2317" width="11.44140625" style="2"/>
    <col min="2318" max="2318" width="2.6640625" style="2" customWidth="1"/>
    <col min="2319" max="2319" width="12.6640625" style="2" customWidth="1"/>
    <col min="2320" max="2320" width="11.44140625" style="2"/>
    <col min="2321" max="2321" width="2.6640625" style="2" customWidth="1"/>
    <col min="2322" max="2322" width="12.6640625" style="2" customWidth="1"/>
    <col min="2323" max="2323" width="11.44140625" style="2"/>
    <col min="2324" max="2324" width="2.6640625" style="2" customWidth="1"/>
    <col min="2325" max="2325" width="12.6640625" style="2" customWidth="1"/>
    <col min="2326" max="2326" width="11.44140625" style="2" customWidth="1"/>
    <col min="2327" max="2327" width="2.6640625" style="2" customWidth="1"/>
    <col min="2328" max="2328" width="12.6640625" style="2" customWidth="1"/>
    <col min="2329" max="2329" width="11.44140625" style="2"/>
    <col min="2330" max="2330" width="2.6640625" style="2" customWidth="1"/>
    <col min="2331" max="2331" width="12.6640625" style="2" customWidth="1"/>
    <col min="2332" max="2332" width="11.44140625" style="2" customWidth="1"/>
    <col min="2333" max="2333" width="2.6640625" style="2" customWidth="1"/>
    <col min="2334" max="2334" width="12.6640625" style="2" customWidth="1"/>
    <col min="2335" max="2335" width="11.44140625" style="2" customWidth="1"/>
    <col min="2336" max="2336" width="2.6640625" style="2" customWidth="1"/>
    <col min="2337" max="2337" width="12.6640625" style="2" customWidth="1"/>
    <col min="2338" max="2338" width="11.44140625" style="2" customWidth="1"/>
    <col min="2339" max="2339" width="2.6640625" style="2" customWidth="1"/>
    <col min="2340" max="2340" width="12.6640625" style="2" customWidth="1"/>
    <col min="2341" max="2341" width="11.44140625" style="2" customWidth="1"/>
    <col min="2342" max="2342" width="2.6640625" style="2" customWidth="1"/>
    <col min="2343" max="2343" width="12.6640625" style="2" customWidth="1"/>
    <col min="2344" max="2344" width="11.44140625" style="2"/>
    <col min="2345" max="2345" width="2.6640625" style="2" customWidth="1"/>
    <col min="2346" max="2346" width="12.6640625" style="2" customWidth="1"/>
    <col min="2347" max="2347" width="11.44140625" style="2"/>
    <col min="2348" max="2348" width="2.6640625" style="2" customWidth="1"/>
    <col min="2349" max="2349" width="12.6640625" style="2" customWidth="1"/>
    <col min="2350" max="2569" width="11.44140625" style="2"/>
    <col min="2570" max="2570" width="53.109375" style="2" customWidth="1"/>
    <col min="2571" max="2571" width="2.6640625" style="2" customWidth="1"/>
    <col min="2572" max="2572" width="12.6640625" style="2" customWidth="1"/>
    <col min="2573" max="2573" width="11.44140625" style="2"/>
    <col min="2574" max="2574" width="2.6640625" style="2" customWidth="1"/>
    <col min="2575" max="2575" width="12.6640625" style="2" customWidth="1"/>
    <col min="2576" max="2576" width="11.44140625" style="2"/>
    <col min="2577" max="2577" width="2.6640625" style="2" customWidth="1"/>
    <col min="2578" max="2578" width="12.6640625" style="2" customWidth="1"/>
    <col min="2579" max="2579" width="11.44140625" style="2"/>
    <col min="2580" max="2580" width="2.6640625" style="2" customWidth="1"/>
    <col min="2581" max="2581" width="12.6640625" style="2" customWidth="1"/>
    <col min="2582" max="2582" width="11.44140625" style="2" customWidth="1"/>
    <col min="2583" max="2583" width="2.6640625" style="2" customWidth="1"/>
    <col min="2584" max="2584" width="12.6640625" style="2" customWidth="1"/>
    <col min="2585" max="2585" width="11.44140625" style="2"/>
    <col min="2586" max="2586" width="2.6640625" style="2" customWidth="1"/>
    <col min="2587" max="2587" width="12.6640625" style="2" customWidth="1"/>
    <col min="2588" max="2588" width="11.44140625" style="2" customWidth="1"/>
    <col min="2589" max="2589" width="2.6640625" style="2" customWidth="1"/>
    <col min="2590" max="2590" width="12.6640625" style="2" customWidth="1"/>
    <col min="2591" max="2591" width="11.44140625" style="2" customWidth="1"/>
    <col min="2592" max="2592" width="2.6640625" style="2" customWidth="1"/>
    <col min="2593" max="2593" width="12.6640625" style="2" customWidth="1"/>
    <col min="2594" max="2594" width="11.44140625" style="2" customWidth="1"/>
    <col min="2595" max="2595" width="2.6640625" style="2" customWidth="1"/>
    <col min="2596" max="2596" width="12.6640625" style="2" customWidth="1"/>
    <col min="2597" max="2597" width="11.44140625" style="2" customWidth="1"/>
    <col min="2598" max="2598" width="2.6640625" style="2" customWidth="1"/>
    <col min="2599" max="2599" width="12.6640625" style="2" customWidth="1"/>
    <col min="2600" max="2600" width="11.44140625" style="2"/>
    <col min="2601" max="2601" width="2.6640625" style="2" customWidth="1"/>
    <col min="2602" max="2602" width="12.6640625" style="2" customWidth="1"/>
    <col min="2603" max="2603" width="11.44140625" style="2"/>
    <col min="2604" max="2604" width="2.6640625" style="2" customWidth="1"/>
    <col min="2605" max="2605" width="12.6640625" style="2" customWidth="1"/>
    <col min="2606" max="2825" width="11.44140625" style="2"/>
    <col min="2826" max="2826" width="53.109375" style="2" customWidth="1"/>
    <col min="2827" max="2827" width="2.6640625" style="2" customWidth="1"/>
    <col min="2828" max="2828" width="12.6640625" style="2" customWidth="1"/>
    <col min="2829" max="2829" width="11.44140625" style="2"/>
    <col min="2830" max="2830" width="2.6640625" style="2" customWidth="1"/>
    <col min="2831" max="2831" width="12.6640625" style="2" customWidth="1"/>
    <col min="2832" max="2832" width="11.44140625" style="2"/>
    <col min="2833" max="2833" width="2.6640625" style="2" customWidth="1"/>
    <col min="2834" max="2834" width="12.6640625" style="2" customWidth="1"/>
    <col min="2835" max="2835" width="11.44140625" style="2"/>
    <col min="2836" max="2836" width="2.6640625" style="2" customWidth="1"/>
    <col min="2837" max="2837" width="12.6640625" style="2" customWidth="1"/>
    <col min="2838" max="2838" width="11.44140625" style="2" customWidth="1"/>
    <col min="2839" max="2839" width="2.6640625" style="2" customWidth="1"/>
    <col min="2840" max="2840" width="12.6640625" style="2" customWidth="1"/>
    <col min="2841" max="2841" width="11.44140625" style="2"/>
    <col min="2842" max="2842" width="2.6640625" style="2" customWidth="1"/>
    <col min="2843" max="2843" width="12.6640625" style="2" customWidth="1"/>
    <col min="2844" max="2844" width="11.44140625" style="2" customWidth="1"/>
    <col min="2845" max="2845" width="2.6640625" style="2" customWidth="1"/>
    <col min="2846" max="2846" width="12.6640625" style="2" customWidth="1"/>
    <col min="2847" max="2847" width="11.44140625" style="2" customWidth="1"/>
    <col min="2848" max="2848" width="2.6640625" style="2" customWidth="1"/>
    <col min="2849" max="2849" width="12.6640625" style="2" customWidth="1"/>
    <col min="2850" max="2850" width="11.44140625" style="2" customWidth="1"/>
    <col min="2851" max="2851" width="2.6640625" style="2" customWidth="1"/>
    <col min="2852" max="2852" width="12.6640625" style="2" customWidth="1"/>
    <col min="2853" max="2853" width="11.44140625" style="2" customWidth="1"/>
    <col min="2854" max="2854" width="2.6640625" style="2" customWidth="1"/>
    <col min="2855" max="2855" width="12.6640625" style="2" customWidth="1"/>
    <col min="2856" max="2856" width="11.44140625" style="2"/>
    <col min="2857" max="2857" width="2.6640625" style="2" customWidth="1"/>
    <col min="2858" max="2858" width="12.6640625" style="2" customWidth="1"/>
    <col min="2859" max="2859" width="11.44140625" style="2"/>
    <col min="2860" max="2860" width="2.6640625" style="2" customWidth="1"/>
    <col min="2861" max="2861" width="12.6640625" style="2" customWidth="1"/>
    <col min="2862" max="3081" width="11.44140625" style="2"/>
    <col min="3082" max="3082" width="53.109375" style="2" customWidth="1"/>
    <col min="3083" max="3083" width="2.6640625" style="2" customWidth="1"/>
    <col min="3084" max="3084" width="12.6640625" style="2" customWidth="1"/>
    <col min="3085" max="3085" width="11.44140625" style="2"/>
    <col min="3086" max="3086" width="2.6640625" style="2" customWidth="1"/>
    <col min="3087" max="3087" width="12.6640625" style="2" customWidth="1"/>
    <col min="3088" max="3088" width="11.44140625" style="2"/>
    <col min="3089" max="3089" width="2.6640625" style="2" customWidth="1"/>
    <col min="3090" max="3090" width="12.6640625" style="2" customWidth="1"/>
    <col min="3091" max="3091" width="11.44140625" style="2"/>
    <col min="3092" max="3092" width="2.6640625" style="2" customWidth="1"/>
    <col min="3093" max="3093" width="12.6640625" style="2" customWidth="1"/>
    <col min="3094" max="3094" width="11.44140625" style="2" customWidth="1"/>
    <col min="3095" max="3095" width="2.6640625" style="2" customWidth="1"/>
    <col min="3096" max="3096" width="12.6640625" style="2" customWidth="1"/>
    <col min="3097" max="3097" width="11.44140625" style="2"/>
    <col min="3098" max="3098" width="2.6640625" style="2" customWidth="1"/>
    <col min="3099" max="3099" width="12.6640625" style="2" customWidth="1"/>
    <col min="3100" max="3100" width="11.44140625" style="2" customWidth="1"/>
    <col min="3101" max="3101" width="2.6640625" style="2" customWidth="1"/>
    <col min="3102" max="3102" width="12.6640625" style="2" customWidth="1"/>
    <col min="3103" max="3103" width="11.44140625" style="2" customWidth="1"/>
    <col min="3104" max="3104" width="2.6640625" style="2" customWidth="1"/>
    <col min="3105" max="3105" width="12.6640625" style="2" customWidth="1"/>
    <col min="3106" max="3106" width="11.44140625" style="2" customWidth="1"/>
    <col min="3107" max="3107" width="2.6640625" style="2" customWidth="1"/>
    <col min="3108" max="3108" width="12.6640625" style="2" customWidth="1"/>
    <col min="3109" max="3109" width="11.44140625" style="2" customWidth="1"/>
    <col min="3110" max="3110" width="2.6640625" style="2" customWidth="1"/>
    <col min="3111" max="3111" width="12.6640625" style="2" customWidth="1"/>
    <col min="3112" max="3112" width="11.44140625" style="2"/>
    <col min="3113" max="3113" width="2.6640625" style="2" customWidth="1"/>
    <col min="3114" max="3114" width="12.6640625" style="2" customWidth="1"/>
    <col min="3115" max="3115" width="11.44140625" style="2"/>
    <col min="3116" max="3116" width="2.6640625" style="2" customWidth="1"/>
    <col min="3117" max="3117" width="12.6640625" style="2" customWidth="1"/>
    <col min="3118" max="3337" width="11.44140625" style="2"/>
    <col min="3338" max="3338" width="53.109375" style="2" customWidth="1"/>
    <col min="3339" max="3339" width="2.6640625" style="2" customWidth="1"/>
    <col min="3340" max="3340" width="12.6640625" style="2" customWidth="1"/>
    <col min="3341" max="3341" width="11.44140625" style="2"/>
    <col min="3342" max="3342" width="2.6640625" style="2" customWidth="1"/>
    <col min="3343" max="3343" width="12.6640625" style="2" customWidth="1"/>
    <col min="3344" max="3344" width="11.44140625" style="2"/>
    <col min="3345" max="3345" width="2.6640625" style="2" customWidth="1"/>
    <col min="3346" max="3346" width="12.6640625" style="2" customWidth="1"/>
    <col min="3347" max="3347" width="11.44140625" style="2"/>
    <col min="3348" max="3348" width="2.6640625" style="2" customWidth="1"/>
    <col min="3349" max="3349" width="12.6640625" style="2" customWidth="1"/>
    <col min="3350" max="3350" width="11.44140625" style="2" customWidth="1"/>
    <col min="3351" max="3351" width="2.6640625" style="2" customWidth="1"/>
    <col min="3352" max="3352" width="12.6640625" style="2" customWidth="1"/>
    <col min="3353" max="3353" width="11.44140625" style="2"/>
    <col min="3354" max="3354" width="2.6640625" style="2" customWidth="1"/>
    <col min="3355" max="3355" width="12.6640625" style="2" customWidth="1"/>
    <col min="3356" max="3356" width="11.44140625" style="2" customWidth="1"/>
    <col min="3357" max="3357" width="2.6640625" style="2" customWidth="1"/>
    <col min="3358" max="3358" width="12.6640625" style="2" customWidth="1"/>
    <col min="3359" max="3359" width="11.44140625" style="2" customWidth="1"/>
    <col min="3360" max="3360" width="2.6640625" style="2" customWidth="1"/>
    <col min="3361" max="3361" width="12.6640625" style="2" customWidth="1"/>
    <col min="3362" max="3362" width="11.44140625" style="2" customWidth="1"/>
    <col min="3363" max="3363" width="2.6640625" style="2" customWidth="1"/>
    <col min="3364" max="3364" width="12.6640625" style="2" customWidth="1"/>
    <col min="3365" max="3365" width="11.44140625" style="2" customWidth="1"/>
    <col min="3366" max="3366" width="2.6640625" style="2" customWidth="1"/>
    <col min="3367" max="3367" width="12.6640625" style="2" customWidth="1"/>
    <col min="3368" max="3368" width="11.44140625" style="2"/>
    <col min="3369" max="3369" width="2.6640625" style="2" customWidth="1"/>
    <col min="3370" max="3370" width="12.6640625" style="2" customWidth="1"/>
    <col min="3371" max="3371" width="11.44140625" style="2"/>
    <col min="3372" max="3372" width="2.6640625" style="2" customWidth="1"/>
    <col min="3373" max="3373" width="12.6640625" style="2" customWidth="1"/>
    <col min="3374" max="3593" width="11.44140625" style="2"/>
    <col min="3594" max="3594" width="53.109375" style="2" customWidth="1"/>
    <col min="3595" max="3595" width="2.6640625" style="2" customWidth="1"/>
    <col min="3596" max="3596" width="12.6640625" style="2" customWidth="1"/>
    <col min="3597" max="3597" width="11.44140625" style="2"/>
    <col min="3598" max="3598" width="2.6640625" style="2" customWidth="1"/>
    <col min="3599" max="3599" width="12.6640625" style="2" customWidth="1"/>
    <col min="3600" max="3600" width="11.44140625" style="2"/>
    <col min="3601" max="3601" width="2.6640625" style="2" customWidth="1"/>
    <col min="3602" max="3602" width="12.6640625" style="2" customWidth="1"/>
    <col min="3603" max="3603" width="11.44140625" style="2"/>
    <col min="3604" max="3604" width="2.6640625" style="2" customWidth="1"/>
    <col min="3605" max="3605" width="12.6640625" style="2" customWidth="1"/>
    <col min="3606" max="3606" width="11.44140625" style="2" customWidth="1"/>
    <col min="3607" max="3607" width="2.6640625" style="2" customWidth="1"/>
    <col min="3608" max="3608" width="12.6640625" style="2" customWidth="1"/>
    <col min="3609" max="3609" width="11.44140625" style="2"/>
    <col min="3610" max="3610" width="2.6640625" style="2" customWidth="1"/>
    <col min="3611" max="3611" width="12.6640625" style="2" customWidth="1"/>
    <col min="3612" max="3612" width="11.44140625" style="2" customWidth="1"/>
    <col min="3613" max="3613" width="2.6640625" style="2" customWidth="1"/>
    <col min="3614" max="3614" width="12.6640625" style="2" customWidth="1"/>
    <col min="3615" max="3615" width="11.44140625" style="2" customWidth="1"/>
    <col min="3616" max="3616" width="2.6640625" style="2" customWidth="1"/>
    <col min="3617" max="3617" width="12.6640625" style="2" customWidth="1"/>
    <col min="3618" max="3618" width="11.44140625" style="2" customWidth="1"/>
    <col min="3619" max="3619" width="2.6640625" style="2" customWidth="1"/>
    <col min="3620" max="3620" width="12.6640625" style="2" customWidth="1"/>
    <col min="3621" max="3621" width="11.44140625" style="2" customWidth="1"/>
    <col min="3622" max="3622" width="2.6640625" style="2" customWidth="1"/>
    <col min="3623" max="3623" width="12.6640625" style="2" customWidth="1"/>
    <col min="3624" max="3624" width="11.44140625" style="2"/>
    <col min="3625" max="3625" width="2.6640625" style="2" customWidth="1"/>
    <col min="3626" max="3626" width="12.6640625" style="2" customWidth="1"/>
    <col min="3627" max="3627" width="11.44140625" style="2"/>
    <col min="3628" max="3628" width="2.6640625" style="2" customWidth="1"/>
    <col min="3629" max="3629" width="12.6640625" style="2" customWidth="1"/>
    <col min="3630" max="3849" width="11.44140625" style="2"/>
    <col min="3850" max="3850" width="53.109375" style="2" customWidth="1"/>
    <col min="3851" max="3851" width="2.6640625" style="2" customWidth="1"/>
    <col min="3852" max="3852" width="12.6640625" style="2" customWidth="1"/>
    <col min="3853" max="3853" width="11.44140625" style="2"/>
    <col min="3854" max="3854" width="2.6640625" style="2" customWidth="1"/>
    <col min="3855" max="3855" width="12.6640625" style="2" customWidth="1"/>
    <col min="3856" max="3856" width="11.44140625" style="2"/>
    <col min="3857" max="3857" width="2.6640625" style="2" customWidth="1"/>
    <col min="3858" max="3858" width="12.6640625" style="2" customWidth="1"/>
    <col min="3859" max="3859" width="11.44140625" style="2"/>
    <col min="3860" max="3860" width="2.6640625" style="2" customWidth="1"/>
    <col min="3861" max="3861" width="12.6640625" style="2" customWidth="1"/>
    <col min="3862" max="3862" width="11.44140625" style="2" customWidth="1"/>
    <col min="3863" max="3863" width="2.6640625" style="2" customWidth="1"/>
    <col min="3864" max="3864" width="12.6640625" style="2" customWidth="1"/>
    <col min="3865" max="3865" width="11.44140625" style="2"/>
    <col min="3866" max="3866" width="2.6640625" style="2" customWidth="1"/>
    <col min="3867" max="3867" width="12.6640625" style="2" customWidth="1"/>
    <col min="3868" max="3868" width="11.44140625" style="2" customWidth="1"/>
    <col min="3869" max="3869" width="2.6640625" style="2" customWidth="1"/>
    <col min="3870" max="3870" width="12.6640625" style="2" customWidth="1"/>
    <col min="3871" max="3871" width="11.44140625" style="2" customWidth="1"/>
    <col min="3872" max="3872" width="2.6640625" style="2" customWidth="1"/>
    <col min="3873" max="3873" width="12.6640625" style="2" customWidth="1"/>
    <col min="3874" max="3874" width="11.44140625" style="2" customWidth="1"/>
    <col min="3875" max="3875" width="2.6640625" style="2" customWidth="1"/>
    <col min="3876" max="3876" width="12.6640625" style="2" customWidth="1"/>
    <col min="3877" max="3877" width="11.44140625" style="2" customWidth="1"/>
    <col min="3878" max="3878" width="2.6640625" style="2" customWidth="1"/>
    <col min="3879" max="3879" width="12.6640625" style="2" customWidth="1"/>
    <col min="3880" max="3880" width="11.44140625" style="2"/>
    <col min="3881" max="3881" width="2.6640625" style="2" customWidth="1"/>
    <col min="3882" max="3882" width="12.6640625" style="2" customWidth="1"/>
    <col min="3883" max="3883" width="11.44140625" style="2"/>
    <col min="3884" max="3884" width="2.6640625" style="2" customWidth="1"/>
    <col min="3885" max="3885" width="12.6640625" style="2" customWidth="1"/>
    <col min="3886" max="4105" width="11.44140625" style="2"/>
    <col min="4106" max="4106" width="53.109375" style="2" customWidth="1"/>
    <col min="4107" max="4107" width="2.6640625" style="2" customWidth="1"/>
    <col min="4108" max="4108" width="12.6640625" style="2" customWidth="1"/>
    <col min="4109" max="4109" width="11.44140625" style="2"/>
    <col min="4110" max="4110" width="2.6640625" style="2" customWidth="1"/>
    <col min="4111" max="4111" width="12.6640625" style="2" customWidth="1"/>
    <col min="4112" max="4112" width="11.44140625" style="2"/>
    <col min="4113" max="4113" width="2.6640625" style="2" customWidth="1"/>
    <col min="4114" max="4114" width="12.6640625" style="2" customWidth="1"/>
    <col min="4115" max="4115" width="11.44140625" style="2"/>
    <col min="4116" max="4116" width="2.6640625" style="2" customWidth="1"/>
    <col min="4117" max="4117" width="12.6640625" style="2" customWidth="1"/>
    <col min="4118" max="4118" width="11.44140625" style="2" customWidth="1"/>
    <col min="4119" max="4119" width="2.6640625" style="2" customWidth="1"/>
    <col min="4120" max="4120" width="12.6640625" style="2" customWidth="1"/>
    <col min="4121" max="4121" width="11.44140625" style="2"/>
    <col min="4122" max="4122" width="2.6640625" style="2" customWidth="1"/>
    <col min="4123" max="4123" width="12.6640625" style="2" customWidth="1"/>
    <col min="4124" max="4124" width="11.44140625" style="2" customWidth="1"/>
    <col min="4125" max="4125" width="2.6640625" style="2" customWidth="1"/>
    <col min="4126" max="4126" width="12.6640625" style="2" customWidth="1"/>
    <col min="4127" max="4127" width="11.44140625" style="2" customWidth="1"/>
    <col min="4128" max="4128" width="2.6640625" style="2" customWidth="1"/>
    <col min="4129" max="4129" width="12.6640625" style="2" customWidth="1"/>
    <col min="4130" max="4130" width="11.44140625" style="2" customWidth="1"/>
    <col min="4131" max="4131" width="2.6640625" style="2" customWidth="1"/>
    <col min="4132" max="4132" width="12.6640625" style="2" customWidth="1"/>
    <col min="4133" max="4133" width="11.44140625" style="2" customWidth="1"/>
    <col min="4134" max="4134" width="2.6640625" style="2" customWidth="1"/>
    <col min="4135" max="4135" width="12.6640625" style="2" customWidth="1"/>
    <col min="4136" max="4136" width="11.44140625" style="2"/>
    <col min="4137" max="4137" width="2.6640625" style="2" customWidth="1"/>
    <col min="4138" max="4138" width="12.6640625" style="2" customWidth="1"/>
    <col min="4139" max="4139" width="11.44140625" style="2"/>
    <col min="4140" max="4140" width="2.6640625" style="2" customWidth="1"/>
    <col min="4141" max="4141" width="12.6640625" style="2" customWidth="1"/>
    <col min="4142" max="4361" width="11.44140625" style="2"/>
    <col min="4362" max="4362" width="53.109375" style="2" customWidth="1"/>
    <col min="4363" max="4363" width="2.6640625" style="2" customWidth="1"/>
    <col min="4364" max="4364" width="12.6640625" style="2" customWidth="1"/>
    <col min="4365" max="4365" width="11.44140625" style="2"/>
    <col min="4366" max="4366" width="2.6640625" style="2" customWidth="1"/>
    <col min="4367" max="4367" width="12.6640625" style="2" customWidth="1"/>
    <col min="4368" max="4368" width="11.44140625" style="2"/>
    <col min="4369" max="4369" width="2.6640625" style="2" customWidth="1"/>
    <col min="4370" max="4370" width="12.6640625" style="2" customWidth="1"/>
    <col min="4371" max="4371" width="11.44140625" style="2"/>
    <col min="4372" max="4372" width="2.6640625" style="2" customWidth="1"/>
    <col min="4373" max="4373" width="12.6640625" style="2" customWidth="1"/>
    <col min="4374" max="4374" width="11.44140625" style="2" customWidth="1"/>
    <col min="4375" max="4375" width="2.6640625" style="2" customWidth="1"/>
    <col min="4376" max="4376" width="12.6640625" style="2" customWidth="1"/>
    <col min="4377" max="4377" width="11.44140625" style="2"/>
    <col min="4378" max="4378" width="2.6640625" style="2" customWidth="1"/>
    <col min="4379" max="4379" width="12.6640625" style="2" customWidth="1"/>
    <col min="4380" max="4380" width="11.44140625" style="2" customWidth="1"/>
    <col min="4381" max="4381" width="2.6640625" style="2" customWidth="1"/>
    <col min="4382" max="4382" width="12.6640625" style="2" customWidth="1"/>
    <col min="4383" max="4383" width="11.44140625" style="2" customWidth="1"/>
    <col min="4384" max="4384" width="2.6640625" style="2" customWidth="1"/>
    <col min="4385" max="4385" width="12.6640625" style="2" customWidth="1"/>
    <col min="4386" max="4386" width="11.44140625" style="2" customWidth="1"/>
    <col min="4387" max="4387" width="2.6640625" style="2" customWidth="1"/>
    <col min="4388" max="4388" width="12.6640625" style="2" customWidth="1"/>
    <col min="4389" max="4389" width="11.44140625" style="2" customWidth="1"/>
    <col min="4390" max="4390" width="2.6640625" style="2" customWidth="1"/>
    <col min="4391" max="4391" width="12.6640625" style="2" customWidth="1"/>
    <col min="4392" max="4392" width="11.44140625" style="2"/>
    <col min="4393" max="4393" width="2.6640625" style="2" customWidth="1"/>
    <col min="4394" max="4394" width="12.6640625" style="2" customWidth="1"/>
    <col min="4395" max="4395" width="11.44140625" style="2"/>
    <col min="4396" max="4396" width="2.6640625" style="2" customWidth="1"/>
    <col min="4397" max="4397" width="12.6640625" style="2" customWidth="1"/>
    <col min="4398" max="4617" width="11.44140625" style="2"/>
    <col min="4618" max="4618" width="53.109375" style="2" customWidth="1"/>
    <col min="4619" max="4619" width="2.6640625" style="2" customWidth="1"/>
    <col min="4620" max="4620" width="12.6640625" style="2" customWidth="1"/>
    <col min="4621" max="4621" width="11.44140625" style="2"/>
    <col min="4622" max="4622" width="2.6640625" style="2" customWidth="1"/>
    <col min="4623" max="4623" width="12.6640625" style="2" customWidth="1"/>
    <col min="4624" max="4624" width="11.44140625" style="2"/>
    <col min="4625" max="4625" width="2.6640625" style="2" customWidth="1"/>
    <col min="4626" max="4626" width="12.6640625" style="2" customWidth="1"/>
    <col min="4627" max="4627" width="11.44140625" style="2"/>
    <col min="4628" max="4628" width="2.6640625" style="2" customWidth="1"/>
    <col min="4629" max="4629" width="12.6640625" style="2" customWidth="1"/>
    <col min="4630" max="4630" width="11.44140625" style="2" customWidth="1"/>
    <col min="4631" max="4631" width="2.6640625" style="2" customWidth="1"/>
    <col min="4632" max="4632" width="12.6640625" style="2" customWidth="1"/>
    <col min="4633" max="4633" width="11.44140625" style="2"/>
    <col min="4634" max="4634" width="2.6640625" style="2" customWidth="1"/>
    <col min="4635" max="4635" width="12.6640625" style="2" customWidth="1"/>
    <col min="4636" max="4636" width="11.44140625" style="2" customWidth="1"/>
    <col min="4637" max="4637" width="2.6640625" style="2" customWidth="1"/>
    <col min="4638" max="4638" width="12.6640625" style="2" customWidth="1"/>
    <col min="4639" max="4639" width="11.44140625" style="2" customWidth="1"/>
    <col min="4640" max="4640" width="2.6640625" style="2" customWidth="1"/>
    <col min="4641" max="4641" width="12.6640625" style="2" customWidth="1"/>
    <col min="4642" max="4642" width="11.44140625" style="2" customWidth="1"/>
    <col min="4643" max="4643" width="2.6640625" style="2" customWidth="1"/>
    <col min="4644" max="4644" width="12.6640625" style="2" customWidth="1"/>
    <col min="4645" max="4645" width="11.44140625" style="2" customWidth="1"/>
    <col min="4646" max="4646" width="2.6640625" style="2" customWidth="1"/>
    <col min="4647" max="4647" width="12.6640625" style="2" customWidth="1"/>
    <col min="4648" max="4648" width="11.44140625" style="2"/>
    <col min="4649" max="4649" width="2.6640625" style="2" customWidth="1"/>
    <col min="4650" max="4650" width="12.6640625" style="2" customWidth="1"/>
    <col min="4651" max="4651" width="11.44140625" style="2"/>
    <col min="4652" max="4652" width="2.6640625" style="2" customWidth="1"/>
    <col min="4653" max="4653" width="12.6640625" style="2" customWidth="1"/>
    <col min="4654" max="4873" width="11.44140625" style="2"/>
    <col min="4874" max="4874" width="53.109375" style="2" customWidth="1"/>
    <col min="4875" max="4875" width="2.6640625" style="2" customWidth="1"/>
    <col min="4876" max="4876" width="12.6640625" style="2" customWidth="1"/>
    <col min="4877" max="4877" width="11.44140625" style="2"/>
    <col min="4878" max="4878" width="2.6640625" style="2" customWidth="1"/>
    <col min="4879" max="4879" width="12.6640625" style="2" customWidth="1"/>
    <col min="4880" max="4880" width="11.44140625" style="2"/>
    <col min="4881" max="4881" width="2.6640625" style="2" customWidth="1"/>
    <col min="4882" max="4882" width="12.6640625" style="2" customWidth="1"/>
    <col min="4883" max="4883" width="11.44140625" style="2"/>
    <col min="4884" max="4884" width="2.6640625" style="2" customWidth="1"/>
    <col min="4885" max="4885" width="12.6640625" style="2" customWidth="1"/>
    <col min="4886" max="4886" width="11.44140625" style="2" customWidth="1"/>
    <col min="4887" max="4887" width="2.6640625" style="2" customWidth="1"/>
    <col min="4888" max="4888" width="12.6640625" style="2" customWidth="1"/>
    <col min="4889" max="4889" width="11.44140625" style="2"/>
    <col min="4890" max="4890" width="2.6640625" style="2" customWidth="1"/>
    <col min="4891" max="4891" width="12.6640625" style="2" customWidth="1"/>
    <col min="4892" max="4892" width="11.44140625" style="2" customWidth="1"/>
    <col min="4893" max="4893" width="2.6640625" style="2" customWidth="1"/>
    <col min="4894" max="4894" width="12.6640625" style="2" customWidth="1"/>
    <col min="4895" max="4895" width="11.44140625" style="2" customWidth="1"/>
    <col min="4896" max="4896" width="2.6640625" style="2" customWidth="1"/>
    <col min="4897" max="4897" width="12.6640625" style="2" customWidth="1"/>
    <col min="4898" max="4898" width="11.44140625" style="2" customWidth="1"/>
    <col min="4899" max="4899" width="2.6640625" style="2" customWidth="1"/>
    <col min="4900" max="4900" width="12.6640625" style="2" customWidth="1"/>
    <col min="4901" max="4901" width="11.44140625" style="2" customWidth="1"/>
    <col min="4902" max="4902" width="2.6640625" style="2" customWidth="1"/>
    <col min="4903" max="4903" width="12.6640625" style="2" customWidth="1"/>
    <col min="4904" max="4904" width="11.44140625" style="2"/>
    <col min="4905" max="4905" width="2.6640625" style="2" customWidth="1"/>
    <col min="4906" max="4906" width="12.6640625" style="2" customWidth="1"/>
    <col min="4907" max="4907" width="11.44140625" style="2"/>
    <col min="4908" max="4908" width="2.6640625" style="2" customWidth="1"/>
    <col min="4909" max="4909" width="12.6640625" style="2" customWidth="1"/>
    <col min="4910" max="5129" width="11.44140625" style="2"/>
    <col min="5130" max="5130" width="53.109375" style="2" customWidth="1"/>
    <col min="5131" max="5131" width="2.6640625" style="2" customWidth="1"/>
    <col min="5132" max="5132" width="12.6640625" style="2" customWidth="1"/>
    <col min="5133" max="5133" width="11.44140625" style="2"/>
    <col min="5134" max="5134" width="2.6640625" style="2" customWidth="1"/>
    <col min="5135" max="5135" width="12.6640625" style="2" customWidth="1"/>
    <col min="5136" max="5136" width="11.44140625" style="2"/>
    <col min="5137" max="5137" width="2.6640625" style="2" customWidth="1"/>
    <col min="5138" max="5138" width="12.6640625" style="2" customWidth="1"/>
    <col min="5139" max="5139" width="11.44140625" style="2"/>
    <col min="5140" max="5140" width="2.6640625" style="2" customWidth="1"/>
    <col min="5141" max="5141" width="12.6640625" style="2" customWidth="1"/>
    <col min="5142" max="5142" width="11.44140625" style="2" customWidth="1"/>
    <col min="5143" max="5143" width="2.6640625" style="2" customWidth="1"/>
    <col min="5144" max="5144" width="12.6640625" style="2" customWidth="1"/>
    <col min="5145" max="5145" width="11.44140625" style="2"/>
    <col min="5146" max="5146" width="2.6640625" style="2" customWidth="1"/>
    <col min="5147" max="5147" width="12.6640625" style="2" customWidth="1"/>
    <col min="5148" max="5148" width="11.44140625" style="2" customWidth="1"/>
    <col min="5149" max="5149" width="2.6640625" style="2" customWidth="1"/>
    <col min="5150" max="5150" width="12.6640625" style="2" customWidth="1"/>
    <col min="5151" max="5151" width="11.44140625" style="2" customWidth="1"/>
    <col min="5152" max="5152" width="2.6640625" style="2" customWidth="1"/>
    <col min="5153" max="5153" width="12.6640625" style="2" customWidth="1"/>
    <col min="5154" max="5154" width="11.44140625" style="2" customWidth="1"/>
    <col min="5155" max="5155" width="2.6640625" style="2" customWidth="1"/>
    <col min="5156" max="5156" width="12.6640625" style="2" customWidth="1"/>
    <col min="5157" max="5157" width="11.44140625" style="2" customWidth="1"/>
    <col min="5158" max="5158" width="2.6640625" style="2" customWidth="1"/>
    <col min="5159" max="5159" width="12.6640625" style="2" customWidth="1"/>
    <col min="5160" max="5160" width="11.44140625" style="2"/>
    <col min="5161" max="5161" width="2.6640625" style="2" customWidth="1"/>
    <col min="5162" max="5162" width="12.6640625" style="2" customWidth="1"/>
    <col min="5163" max="5163" width="11.44140625" style="2"/>
    <col min="5164" max="5164" width="2.6640625" style="2" customWidth="1"/>
    <col min="5165" max="5165" width="12.6640625" style="2" customWidth="1"/>
    <col min="5166" max="5385" width="11.44140625" style="2"/>
    <col min="5386" max="5386" width="53.109375" style="2" customWidth="1"/>
    <col min="5387" max="5387" width="2.6640625" style="2" customWidth="1"/>
    <col min="5388" max="5388" width="12.6640625" style="2" customWidth="1"/>
    <col min="5389" max="5389" width="11.44140625" style="2"/>
    <col min="5390" max="5390" width="2.6640625" style="2" customWidth="1"/>
    <col min="5391" max="5391" width="12.6640625" style="2" customWidth="1"/>
    <col min="5392" max="5392" width="11.44140625" style="2"/>
    <col min="5393" max="5393" width="2.6640625" style="2" customWidth="1"/>
    <col min="5394" max="5394" width="12.6640625" style="2" customWidth="1"/>
    <col min="5395" max="5395" width="11.44140625" style="2"/>
    <col min="5396" max="5396" width="2.6640625" style="2" customWidth="1"/>
    <col min="5397" max="5397" width="12.6640625" style="2" customWidth="1"/>
    <col min="5398" max="5398" width="11.44140625" style="2" customWidth="1"/>
    <col min="5399" max="5399" width="2.6640625" style="2" customWidth="1"/>
    <col min="5400" max="5400" width="12.6640625" style="2" customWidth="1"/>
    <col min="5401" max="5401" width="11.44140625" style="2"/>
    <col min="5402" max="5402" width="2.6640625" style="2" customWidth="1"/>
    <col min="5403" max="5403" width="12.6640625" style="2" customWidth="1"/>
    <col min="5404" max="5404" width="11.44140625" style="2" customWidth="1"/>
    <col min="5405" max="5405" width="2.6640625" style="2" customWidth="1"/>
    <col min="5406" max="5406" width="12.6640625" style="2" customWidth="1"/>
    <col min="5407" max="5407" width="11.44140625" style="2" customWidth="1"/>
    <col min="5408" max="5408" width="2.6640625" style="2" customWidth="1"/>
    <col min="5409" max="5409" width="12.6640625" style="2" customWidth="1"/>
    <col min="5410" max="5410" width="11.44140625" style="2" customWidth="1"/>
    <col min="5411" max="5411" width="2.6640625" style="2" customWidth="1"/>
    <col min="5412" max="5412" width="12.6640625" style="2" customWidth="1"/>
    <col min="5413" max="5413" width="11.44140625" style="2" customWidth="1"/>
    <col min="5414" max="5414" width="2.6640625" style="2" customWidth="1"/>
    <col min="5415" max="5415" width="12.6640625" style="2" customWidth="1"/>
    <col min="5416" max="5416" width="11.44140625" style="2"/>
    <col min="5417" max="5417" width="2.6640625" style="2" customWidth="1"/>
    <col min="5418" max="5418" width="12.6640625" style="2" customWidth="1"/>
    <col min="5419" max="5419" width="11.44140625" style="2"/>
    <col min="5420" max="5420" width="2.6640625" style="2" customWidth="1"/>
    <col min="5421" max="5421" width="12.6640625" style="2" customWidth="1"/>
    <col min="5422" max="5641" width="11.44140625" style="2"/>
    <col min="5642" max="5642" width="53.109375" style="2" customWidth="1"/>
    <col min="5643" max="5643" width="2.6640625" style="2" customWidth="1"/>
    <col min="5644" max="5644" width="12.6640625" style="2" customWidth="1"/>
    <col min="5645" max="5645" width="11.44140625" style="2"/>
    <col min="5646" max="5646" width="2.6640625" style="2" customWidth="1"/>
    <col min="5647" max="5647" width="12.6640625" style="2" customWidth="1"/>
    <col min="5648" max="5648" width="11.44140625" style="2"/>
    <col min="5649" max="5649" width="2.6640625" style="2" customWidth="1"/>
    <col min="5650" max="5650" width="12.6640625" style="2" customWidth="1"/>
    <col min="5651" max="5651" width="11.44140625" style="2"/>
    <col min="5652" max="5652" width="2.6640625" style="2" customWidth="1"/>
    <col min="5653" max="5653" width="12.6640625" style="2" customWidth="1"/>
    <col min="5654" max="5654" width="11.44140625" style="2" customWidth="1"/>
    <col min="5655" max="5655" width="2.6640625" style="2" customWidth="1"/>
    <col min="5656" max="5656" width="12.6640625" style="2" customWidth="1"/>
    <col min="5657" max="5657" width="11.44140625" style="2"/>
    <col min="5658" max="5658" width="2.6640625" style="2" customWidth="1"/>
    <col min="5659" max="5659" width="12.6640625" style="2" customWidth="1"/>
    <col min="5660" max="5660" width="11.44140625" style="2" customWidth="1"/>
    <col min="5661" max="5661" width="2.6640625" style="2" customWidth="1"/>
    <col min="5662" max="5662" width="12.6640625" style="2" customWidth="1"/>
    <col min="5663" max="5663" width="11.44140625" style="2" customWidth="1"/>
    <col min="5664" max="5664" width="2.6640625" style="2" customWidth="1"/>
    <col min="5665" max="5665" width="12.6640625" style="2" customWidth="1"/>
    <col min="5666" max="5666" width="11.44140625" style="2" customWidth="1"/>
    <col min="5667" max="5667" width="2.6640625" style="2" customWidth="1"/>
    <col min="5668" max="5668" width="12.6640625" style="2" customWidth="1"/>
    <col min="5669" max="5669" width="11.44140625" style="2" customWidth="1"/>
    <col min="5670" max="5670" width="2.6640625" style="2" customWidth="1"/>
    <col min="5671" max="5671" width="12.6640625" style="2" customWidth="1"/>
    <col min="5672" max="5672" width="11.44140625" style="2"/>
    <col min="5673" max="5673" width="2.6640625" style="2" customWidth="1"/>
    <col min="5674" max="5674" width="12.6640625" style="2" customWidth="1"/>
    <col min="5675" max="5675" width="11.44140625" style="2"/>
    <col min="5676" max="5676" width="2.6640625" style="2" customWidth="1"/>
    <col min="5677" max="5677" width="12.6640625" style="2" customWidth="1"/>
    <col min="5678" max="5897" width="11.44140625" style="2"/>
    <col min="5898" max="5898" width="53.109375" style="2" customWidth="1"/>
    <col min="5899" max="5899" width="2.6640625" style="2" customWidth="1"/>
    <col min="5900" max="5900" width="12.6640625" style="2" customWidth="1"/>
    <col min="5901" max="5901" width="11.44140625" style="2"/>
    <col min="5902" max="5902" width="2.6640625" style="2" customWidth="1"/>
    <col min="5903" max="5903" width="12.6640625" style="2" customWidth="1"/>
    <col min="5904" max="5904" width="11.44140625" style="2"/>
    <col min="5905" max="5905" width="2.6640625" style="2" customWidth="1"/>
    <col min="5906" max="5906" width="12.6640625" style="2" customWidth="1"/>
    <col min="5907" max="5907" width="11.44140625" style="2"/>
    <col min="5908" max="5908" width="2.6640625" style="2" customWidth="1"/>
    <col min="5909" max="5909" width="12.6640625" style="2" customWidth="1"/>
    <col min="5910" max="5910" width="11.44140625" style="2" customWidth="1"/>
    <col min="5911" max="5911" width="2.6640625" style="2" customWidth="1"/>
    <col min="5912" max="5912" width="12.6640625" style="2" customWidth="1"/>
    <col min="5913" max="5913" width="11.44140625" style="2"/>
    <col min="5914" max="5914" width="2.6640625" style="2" customWidth="1"/>
    <col min="5915" max="5915" width="12.6640625" style="2" customWidth="1"/>
    <col min="5916" max="5916" width="11.44140625" style="2" customWidth="1"/>
    <col min="5917" max="5917" width="2.6640625" style="2" customWidth="1"/>
    <col min="5918" max="5918" width="12.6640625" style="2" customWidth="1"/>
    <col min="5919" max="5919" width="11.44140625" style="2" customWidth="1"/>
    <col min="5920" max="5920" width="2.6640625" style="2" customWidth="1"/>
    <col min="5921" max="5921" width="12.6640625" style="2" customWidth="1"/>
    <col min="5922" max="5922" width="11.44140625" style="2" customWidth="1"/>
    <col min="5923" max="5923" width="2.6640625" style="2" customWidth="1"/>
    <col min="5924" max="5924" width="12.6640625" style="2" customWidth="1"/>
    <col min="5925" max="5925" width="11.44140625" style="2" customWidth="1"/>
    <col min="5926" max="5926" width="2.6640625" style="2" customWidth="1"/>
    <col min="5927" max="5927" width="12.6640625" style="2" customWidth="1"/>
    <col min="5928" max="5928" width="11.44140625" style="2"/>
    <col min="5929" max="5929" width="2.6640625" style="2" customWidth="1"/>
    <col min="5930" max="5930" width="12.6640625" style="2" customWidth="1"/>
    <col min="5931" max="5931" width="11.44140625" style="2"/>
    <col min="5932" max="5932" width="2.6640625" style="2" customWidth="1"/>
    <col min="5933" max="5933" width="12.6640625" style="2" customWidth="1"/>
    <col min="5934" max="6153" width="11.44140625" style="2"/>
    <col min="6154" max="6154" width="53.109375" style="2" customWidth="1"/>
    <col min="6155" max="6155" width="2.6640625" style="2" customWidth="1"/>
    <col min="6156" max="6156" width="12.6640625" style="2" customWidth="1"/>
    <col min="6157" max="6157" width="11.44140625" style="2"/>
    <col min="6158" max="6158" width="2.6640625" style="2" customWidth="1"/>
    <col min="6159" max="6159" width="12.6640625" style="2" customWidth="1"/>
    <col min="6160" max="6160" width="11.44140625" style="2"/>
    <col min="6161" max="6161" width="2.6640625" style="2" customWidth="1"/>
    <col min="6162" max="6162" width="12.6640625" style="2" customWidth="1"/>
    <col min="6163" max="6163" width="11.44140625" style="2"/>
    <col min="6164" max="6164" width="2.6640625" style="2" customWidth="1"/>
    <col min="6165" max="6165" width="12.6640625" style="2" customWidth="1"/>
    <col min="6166" max="6166" width="11.44140625" style="2" customWidth="1"/>
    <col min="6167" max="6167" width="2.6640625" style="2" customWidth="1"/>
    <col min="6168" max="6168" width="12.6640625" style="2" customWidth="1"/>
    <col min="6169" max="6169" width="11.44140625" style="2"/>
    <col min="6170" max="6170" width="2.6640625" style="2" customWidth="1"/>
    <col min="6171" max="6171" width="12.6640625" style="2" customWidth="1"/>
    <col min="6172" max="6172" width="11.44140625" style="2" customWidth="1"/>
    <col min="6173" max="6173" width="2.6640625" style="2" customWidth="1"/>
    <col min="6174" max="6174" width="12.6640625" style="2" customWidth="1"/>
    <col min="6175" max="6175" width="11.44140625" style="2" customWidth="1"/>
    <col min="6176" max="6176" width="2.6640625" style="2" customWidth="1"/>
    <col min="6177" max="6177" width="12.6640625" style="2" customWidth="1"/>
    <col min="6178" max="6178" width="11.44140625" style="2" customWidth="1"/>
    <col min="6179" max="6179" width="2.6640625" style="2" customWidth="1"/>
    <col min="6180" max="6180" width="12.6640625" style="2" customWidth="1"/>
    <col min="6181" max="6181" width="11.44140625" style="2" customWidth="1"/>
    <col min="6182" max="6182" width="2.6640625" style="2" customWidth="1"/>
    <col min="6183" max="6183" width="12.6640625" style="2" customWidth="1"/>
    <col min="6184" max="6184" width="11.44140625" style="2"/>
    <col min="6185" max="6185" width="2.6640625" style="2" customWidth="1"/>
    <col min="6186" max="6186" width="12.6640625" style="2" customWidth="1"/>
    <col min="6187" max="6187" width="11.44140625" style="2"/>
    <col min="6188" max="6188" width="2.6640625" style="2" customWidth="1"/>
    <col min="6189" max="6189" width="12.6640625" style="2" customWidth="1"/>
    <col min="6190" max="6409" width="11.44140625" style="2"/>
    <col min="6410" max="6410" width="53.109375" style="2" customWidth="1"/>
    <col min="6411" max="6411" width="2.6640625" style="2" customWidth="1"/>
    <col min="6412" max="6412" width="12.6640625" style="2" customWidth="1"/>
    <col min="6413" max="6413" width="11.44140625" style="2"/>
    <col min="6414" max="6414" width="2.6640625" style="2" customWidth="1"/>
    <col min="6415" max="6415" width="12.6640625" style="2" customWidth="1"/>
    <col min="6416" max="6416" width="11.44140625" style="2"/>
    <col min="6417" max="6417" width="2.6640625" style="2" customWidth="1"/>
    <col min="6418" max="6418" width="12.6640625" style="2" customWidth="1"/>
    <col min="6419" max="6419" width="11.44140625" style="2"/>
    <col min="6420" max="6420" width="2.6640625" style="2" customWidth="1"/>
    <col min="6421" max="6421" width="12.6640625" style="2" customWidth="1"/>
    <col min="6422" max="6422" width="11.44140625" style="2" customWidth="1"/>
    <col min="6423" max="6423" width="2.6640625" style="2" customWidth="1"/>
    <col min="6424" max="6424" width="12.6640625" style="2" customWidth="1"/>
    <col min="6425" max="6425" width="11.44140625" style="2"/>
    <col min="6426" max="6426" width="2.6640625" style="2" customWidth="1"/>
    <col min="6427" max="6427" width="12.6640625" style="2" customWidth="1"/>
    <col min="6428" max="6428" width="11.44140625" style="2" customWidth="1"/>
    <col min="6429" max="6429" width="2.6640625" style="2" customWidth="1"/>
    <col min="6430" max="6430" width="12.6640625" style="2" customWidth="1"/>
    <col min="6431" max="6431" width="11.44140625" style="2" customWidth="1"/>
    <col min="6432" max="6432" width="2.6640625" style="2" customWidth="1"/>
    <col min="6433" max="6433" width="12.6640625" style="2" customWidth="1"/>
    <col min="6434" max="6434" width="11.44140625" style="2" customWidth="1"/>
    <col min="6435" max="6435" width="2.6640625" style="2" customWidth="1"/>
    <col min="6436" max="6436" width="12.6640625" style="2" customWidth="1"/>
    <col min="6437" max="6437" width="11.44140625" style="2" customWidth="1"/>
    <col min="6438" max="6438" width="2.6640625" style="2" customWidth="1"/>
    <col min="6439" max="6439" width="12.6640625" style="2" customWidth="1"/>
    <col min="6440" max="6440" width="11.44140625" style="2"/>
    <col min="6441" max="6441" width="2.6640625" style="2" customWidth="1"/>
    <col min="6442" max="6442" width="12.6640625" style="2" customWidth="1"/>
    <col min="6443" max="6443" width="11.44140625" style="2"/>
    <col min="6444" max="6444" width="2.6640625" style="2" customWidth="1"/>
    <col min="6445" max="6445" width="12.6640625" style="2" customWidth="1"/>
    <col min="6446" max="6665" width="11.44140625" style="2"/>
    <col min="6666" max="6666" width="53.109375" style="2" customWidth="1"/>
    <col min="6667" max="6667" width="2.6640625" style="2" customWidth="1"/>
    <col min="6668" max="6668" width="12.6640625" style="2" customWidth="1"/>
    <col min="6669" max="6669" width="11.44140625" style="2"/>
    <col min="6670" max="6670" width="2.6640625" style="2" customWidth="1"/>
    <col min="6671" max="6671" width="12.6640625" style="2" customWidth="1"/>
    <col min="6672" max="6672" width="11.44140625" style="2"/>
    <col min="6673" max="6673" width="2.6640625" style="2" customWidth="1"/>
    <col min="6674" max="6674" width="12.6640625" style="2" customWidth="1"/>
    <col min="6675" max="6675" width="11.44140625" style="2"/>
    <col min="6676" max="6676" width="2.6640625" style="2" customWidth="1"/>
    <col min="6677" max="6677" width="12.6640625" style="2" customWidth="1"/>
    <col min="6678" max="6678" width="11.44140625" style="2" customWidth="1"/>
    <col min="6679" max="6679" width="2.6640625" style="2" customWidth="1"/>
    <col min="6680" max="6680" width="12.6640625" style="2" customWidth="1"/>
    <col min="6681" max="6681" width="11.44140625" style="2"/>
    <col min="6682" max="6682" width="2.6640625" style="2" customWidth="1"/>
    <col min="6683" max="6683" width="12.6640625" style="2" customWidth="1"/>
    <col min="6684" max="6684" width="11.44140625" style="2" customWidth="1"/>
    <col min="6685" max="6685" width="2.6640625" style="2" customWidth="1"/>
    <col min="6686" max="6686" width="12.6640625" style="2" customWidth="1"/>
    <col min="6687" max="6687" width="11.44140625" style="2" customWidth="1"/>
    <col min="6688" max="6688" width="2.6640625" style="2" customWidth="1"/>
    <col min="6689" max="6689" width="12.6640625" style="2" customWidth="1"/>
    <col min="6690" max="6690" width="11.44140625" style="2" customWidth="1"/>
    <col min="6691" max="6691" width="2.6640625" style="2" customWidth="1"/>
    <col min="6692" max="6692" width="12.6640625" style="2" customWidth="1"/>
    <col min="6693" max="6693" width="11.44140625" style="2" customWidth="1"/>
    <col min="6694" max="6694" width="2.6640625" style="2" customWidth="1"/>
    <col min="6695" max="6695" width="12.6640625" style="2" customWidth="1"/>
    <col min="6696" max="6696" width="11.44140625" style="2"/>
    <col min="6697" max="6697" width="2.6640625" style="2" customWidth="1"/>
    <col min="6698" max="6698" width="12.6640625" style="2" customWidth="1"/>
    <col min="6699" max="6699" width="11.44140625" style="2"/>
    <col min="6700" max="6700" width="2.6640625" style="2" customWidth="1"/>
    <col min="6701" max="6701" width="12.6640625" style="2" customWidth="1"/>
    <col min="6702" max="6921" width="11.44140625" style="2"/>
    <col min="6922" max="6922" width="53.109375" style="2" customWidth="1"/>
    <col min="6923" max="6923" width="2.6640625" style="2" customWidth="1"/>
    <col min="6924" max="6924" width="12.6640625" style="2" customWidth="1"/>
    <col min="6925" max="6925" width="11.44140625" style="2"/>
    <col min="6926" max="6926" width="2.6640625" style="2" customWidth="1"/>
    <col min="6927" max="6927" width="12.6640625" style="2" customWidth="1"/>
    <col min="6928" max="6928" width="11.44140625" style="2"/>
    <col min="6929" max="6929" width="2.6640625" style="2" customWidth="1"/>
    <col min="6930" max="6930" width="12.6640625" style="2" customWidth="1"/>
    <col min="6931" max="6931" width="11.44140625" style="2"/>
    <col min="6932" max="6932" width="2.6640625" style="2" customWidth="1"/>
    <col min="6933" max="6933" width="12.6640625" style="2" customWidth="1"/>
    <col min="6934" max="6934" width="11.44140625" style="2" customWidth="1"/>
    <col min="6935" max="6935" width="2.6640625" style="2" customWidth="1"/>
    <col min="6936" max="6936" width="12.6640625" style="2" customWidth="1"/>
    <col min="6937" max="6937" width="11.44140625" style="2"/>
    <col min="6938" max="6938" width="2.6640625" style="2" customWidth="1"/>
    <col min="6939" max="6939" width="12.6640625" style="2" customWidth="1"/>
    <col min="6940" max="6940" width="11.44140625" style="2" customWidth="1"/>
    <col min="6941" max="6941" width="2.6640625" style="2" customWidth="1"/>
    <col min="6942" max="6942" width="12.6640625" style="2" customWidth="1"/>
    <col min="6943" max="6943" width="11.44140625" style="2" customWidth="1"/>
    <col min="6944" max="6944" width="2.6640625" style="2" customWidth="1"/>
    <col min="6945" max="6945" width="12.6640625" style="2" customWidth="1"/>
    <col min="6946" max="6946" width="11.44140625" style="2" customWidth="1"/>
    <col min="6947" max="6947" width="2.6640625" style="2" customWidth="1"/>
    <col min="6948" max="6948" width="12.6640625" style="2" customWidth="1"/>
    <col min="6949" max="6949" width="11.44140625" style="2" customWidth="1"/>
    <col min="6950" max="6950" width="2.6640625" style="2" customWidth="1"/>
    <col min="6951" max="6951" width="12.6640625" style="2" customWidth="1"/>
    <col min="6952" max="6952" width="11.44140625" style="2"/>
    <col min="6953" max="6953" width="2.6640625" style="2" customWidth="1"/>
    <col min="6954" max="6954" width="12.6640625" style="2" customWidth="1"/>
    <col min="6955" max="6955" width="11.44140625" style="2"/>
    <col min="6956" max="6956" width="2.6640625" style="2" customWidth="1"/>
    <col min="6957" max="6957" width="12.6640625" style="2" customWidth="1"/>
    <col min="6958" max="7177" width="11.44140625" style="2"/>
    <col min="7178" max="7178" width="53.109375" style="2" customWidth="1"/>
    <col min="7179" max="7179" width="2.6640625" style="2" customWidth="1"/>
    <col min="7180" max="7180" width="12.6640625" style="2" customWidth="1"/>
    <col min="7181" max="7181" width="11.44140625" style="2"/>
    <col min="7182" max="7182" width="2.6640625" style="2" customWidth="1"/>
    <col min="7183" max="7183" width="12.6640625" style="2" customWidth="1"/>
    <col min="7184" max="7184" width="11.44140625" style="2"/>
    <col min="7185" max="7185" width="2.6640625" style="2" customWidth="1"/>
    <col min="7186" max="7186" width="12.6640625" style="2" customWidth="1"/>
    <col min="7187" max="7187" width="11.44140625" style="2"/>
    <col min="7188" max="7188" width="2.6640625" style="2" customWidth="1"/>
    <col min="7189" max="7189" width="12.6640625" style="2" customWidth="1"/>
    <col min="7190" max="7190" width="11.44140625" style="2" customWidth="1"/>
    <col min="7191" max="7191" width="2.6640625" style="2" customWidth="1"/>
    <col min="7192" max="7192" width="12.6640625" style="2" customWidth="1"/>
    <col min="7193" max="7193" width="11.44140625" style="2"/>
    <col min="7194" max="7194" width="2.6640625" style="2" customWidth="1"/>
    <col min="7195" max="7195" width="12.6640625" style="2" customWidth="1"/>
    <col min="7196" max="7196" width="11.44140625" style="2" customWidth="1"/>
    <col min="7197" max="7197" width="2.6640625" style="2" customWidth="1"/>
    <col min="7198" max="7198" width="12.6640625" style="2" customWidth="1"/>
    <col min="7199" max="7199" width="11.44140625" style="2" customWidth="1"/>
    <col min="7200" max="7200" width="2.6640625" style="2" customWidth="1"/>
    <col min="7201" max="7201" width="12.6640625" style="2" customWidth="1"/>
    <col min="7202" max="7202" width="11.44140625" style="2" customWidth="1"/>
    <col min="7203" max="7203" width="2.6640625" style="2" customWidth="1"/>
    <col min="7204" max="7204" width="12.6640625" style="2" customWidth="1"/>
    <col min="7205" max="7205" width="11.44140625" style="2" customWidth="1"/>
    <col min="7206" max="7206" width="2.6640625" style="2" customWidth="1"/>
    <col min="7207" max="7207" width="12.6640625" style="2" customWidth="1"/>
    <col min="7208" max="7208" width="11.44140625" style="2"/>
    <col min="7209" max="7209" width="2.6640625" style="2" customWidth="1"/>
    <col min="7210" max="7210" width="12.6640625" style="2" customWidth="1"/>
    <col min="7211" max="7211" width="11.44140625" style="2"/>
    <col min="7212" max="7212" width="2.6640625" style="2" customWidth="1"/>
    <col min="7213" max="7213" width="12.6640625" style="2" customWidth="1"/>
    <col min="7214" max="7433" width="11.44140625" style="2"/>
    <col min="7434" max="7434" width="53.109375" style="2" customWidth="1"/>
    <col min="7435" max="7435" width="2.6640625" style="2" customWidth="1"/>
    <col min="7436" max="7436" width="12.6640625" style="2" customWidth="1"/>
    <col min="7437" max="7437" width="11.44140625" style="2"/>
    <col min="7438" max="7438" width="2.6640625" style="2" customWidth="1"/>
    <col min="7439" max="7439" width="12.6640625" style="2" customWidth="1"/>
    <col min="7440" max="7440" width="11.44140625" style="2"/>
    <col min="7441" max="7441" width="2.6640625" style="2" customWidth="1"/>
    <col min="7442" max="7442" width="12.6640625" style="2" customWidth="1"/>
    <col min="7443" max="7443" width="11.44140625" style="2"/>
    <col min="7444" max="7444" width="2.6640625" style="2" customWidth="1"/>
    <col min="7445" max="7445" width="12.6640625" style="2" customWidth="1"/>
    <col min="7446" max="7446" width="11.44140625" style="2" customWidth="1"/>
    <col min="7447" max="7447" width="2.6640625" style="2" customWidth="1"/>
    <col min="7448" max="7448" width="12.6640625" style="2" customWidth="1"/>
    <col min="7449" max="7449" width="11.44140625" style="2"/>
    <col min="7450" max="7450" width="2.6640625" style="2" customWidth="1"/>
    <col min="7451" max="7451" width="12.6640625" style="2" customWidth="1"/>
    <col min="7452" max="7452" width="11.44140625" style="2" customWidth="1"/>
    <col min="7453" max="7453" width="2.6640625" style="2" customWidth="1"/>
    <col min="7454" max="7454" width="12.6640625" style="2" customWidth="1"/>
    <col min="7455" max="7455" width="11.44140625" style="2" customWidth="1"/>
    <col min="7456" max="7456" width="2.6640625" style="2" customWidth="1"/>
    <col min="7457" max="7457" width="12.6640625" style="2" customWidth="1"/>
    <col min="7458" max="7458" width="11.44140625" style="2" customWidth="1"/>
    <col min="7459" max="7459" width="2.6640625" style="2" customWidth="1"/>
    <col min="7460" max="7460" width="12.6640625" style="2" customWidth="1"/>
    <col min="7461" max="7461" width="11.44140625" style="2" customWidth="1"/>
    <col min="7462" max="7462" width="2.6640625" style="2" customWidth="1"/>
    <col min="7463" max="7463" width="12.6640625" style="2" customWidth="1"/>
    <col min="7464" max="7464" width="11.44140625" style="2"/>
    <col min="7465" max="7465" width="2.6640625" style="2" customWidth="1"/>
    <col min="7466" max="7466" width="12.6640625" style="2" customWidth="1"/>
    <col min="7467" max="7467" width="11.44140625" style="2"/>
    <col min="7468" max="7468" width="2.6640625" style="2" customWidth="1"/>
    <col min="7469" max="7469" width="12.6640625" style="2" customWidth="1"/>
    <col min="7470" max="7689" width="11.44140625" style="2"/>
    <col min="7690" max="7690" width="53.109375" style="2" customWidth="1"/>
    <col min="7691" max="7691" width="2.6640625" style="2" customWidth="1"/>
    <col min="7692" max="7692" width="12.6640625" style="2" customWidth="1"/>
    <col min="7693" max="7693" width="11.44140625" style="2"/>
    <col min="7694" max="7694" width="2.6640625" style="2" customWidth="1"/>
    <col min="7695" max="7695" width="12.6640625" style="2" customWidth="1"/>
    <col min="7696" max="7696" width="11.44140625" style="2"/>
    <col min="7697" max="7697" width="2.6640625" style="2" customWidth="1"/>
    <col min="7698" max="7698" width="12.6640625" style="2" customWidth="1"/>
    <col min="7699" max="7699" width="11.44140625" style="2"/>
    <col min="7700" max="7700" width="2.6640625" style="2" customWidth="1"/>
    <col min="7701" max="7701" width="12.6640625" style="2" customWidth="1"/>
    <col min="7702" max="7702" width="11.44140625" style="2" customWidth="1"/>
    <col min="7703" max="7703" width="2.6640625" style="2" customWidth="1"/>
    <col min="7704" max="7704" width="12.6640625" style="2" customWidth="1"/>
    <col min="7705" max="7705" width="11.44140625" style="2"/>
    <col min="7706" max="7706" width="2.6640625" style="2" customWidth="1"/>
    <col min="7707" max="7707" width="12.6640625" style="2" customWidth="1"/>
    <col min="7708" max="7708" width="11.44140625" style="2" customWidth="1"/>
    <col min="7709" max="7709" width="2.6640625" style="2" customWidth="1"/>
    <col min="7710" max="7710" width="12.6640625" style="2" customWidth="1"/>
    <col min="7711" max="7711" width="11.44140625" style="2" customWidth="1"/>
    <col min="7712" max="7712" width="2.6640625" style="2" customWidth="1"/>
    <col min="7713" max="7713" width="12.6640625" style="2" customWidth="1"/>
    <col min="7714" max="7714" width="11.44140625" style="2" customWidth="1"/>
    <col min="7715" max="7715" width="2.6640625" style="2" customWidth="1"/>
    <col min="7716" max="7716" width="12.6640625" style="2" customWidth="1"/>
    <col min="7717" max="7717" width="11.44140625" style="2" customWidth="1"/>
    <col min="7718" max="7718" width="2.6640625" style="2" customWidth="1"/>
    <col min="7719" max="7719" width="12.6640625" style="2" customWidth="1"/>
    <col min="7720" max="7720" width="11.44140625" style="2"/>
    <col min="7721" max="7721" width="2.6640625" style="2" customWidth="1"/>
    <col min="7722" max="7722" width="12.6640625" style="2" customWidth="1"/>
    <col min="7723" max="7723" width="11.44140625" style="2"/>
    <col min="7724" max="7724" width="2.6640625" style="2" customWidth="1"/>
    <col min="7725" max="7725" width="12.6640625" style="2" customWidth="1"/>
    <col min="7726" max="7945" width="11.44140625" style="2"/>
    <col min="7946" max="7946" width="53.109375" style="2" customWidth="1"/>
    <col min="7947" max="7947" width="2.6640625" style="2" customWidth="1"/>
    <col min="7948" max="7948" width="12.6640625" style="2" customWidth="1"/>
    <col min="7949" max="7949" width="11.44140625" style="2"/>
    <col min="7950" max="7950" width="2.6640625" style="2" customWidth="1"/>
    <col min="7951" max="7951" width="12.6640625" style="2" customWidth="1"/>
    <col min="7952" max="7952" width="11.44140625" style="2"/>
    <col min="7953" max="7953" width="2.6640625" style="2" customWidth="1"/>
    <col min="7954" max="7954" width="12.6640625" style="2" customWidth="1"/>
    <col min="7955" max="7955" width="11.44140625" style="2"/>
    <col min="7956" max="7956" width="2.6640625" style="2" customWidth="1"/>
    <col min="7957" max="7957" width="12.6640625" style="2" customWidth="1"/>
    <col min="7958" max="7958" width="11.44140625" style="2" customWidth="1"/>
    <col min="7959" max="7959" width="2.6640625" style="2" customWidth="1"/>
    <col min="7960" max="7960" width="12.6640625" style="2" customWidth="1"/>
    <col min="7961" max="7961" width="11.44140625" style="2"/>
    <col min="7962" max="7962" width="2.6640625" style="2" customWidth="1"/>
    <col min="7963" max="7963" width="12.6640625" style="2" customWidth="1"/>
    <col min="7964" max="7964" width="11.44140625" style="2" customWidth="1"/>
    <col min="7965" max="7965" width="2.6640625" style="2" customWidth="1"/>
    <col min="7966" max="7966" width="12.6640625" style="2" customWidth="1"/>
    <col min="7967" max="7967" width="11.44140625" style="2" customWidth="1"/>
    <col min="7968" max="7968" width="2.6640625" style="2" customWidth="1"/>
    <col min="7969" max="7969" width="12.6640625" style="2" customWidth="1"/>
    <col min="7970" max="7970" width="11.44140625" style="2" customWidth="1"/>
    <col min="7971" max="7971" width="2.6640625" style="2" customWidth="1"/>
    <col min="7972" max="7972" width="12.6640625" style="2" customWidth="1"/>
    <col min="7973" max="7973" width="11.44140625" style="2" customWidth="1"/>
    <col min="7974" max="7974" width="2.6640625" style="2" customWidth="1"/>
    <col min="7975" max="7975" width="12.6640625" style="2" customWidth="1"/>
    <col min="7976" max="7976" width="11.44140625" style="2"/>
    <col min="7977" max="7977" width="2.6640625" style="2" customWidth="1"/>
    <col min="7978" max="7978" width="12.6640625" style="2" customWidth="1"/>
    <col min="7979" max="7979" width="11.44140625" style="2"/>
    <col min="7980" max="7980" width="2.6640625" style="2" customWidth="1"/>
    <col min="7981" max="7981" width="12.6640625" style="2" customWidth="1"/>
    <col min="7982" max="8201" width="11.44140625" style="2"/>
    <col min="8202" max="8202" width="53.109375" style="2" customWidth="1"/>
    <col min="8203" max="8203" width="2.6640625" style="2" customWidth="1"/>
    <col min="8204" max="8204" width="12.6640625" style="2" customWidth="1"/>
    <col min="8205" max="8205" width="11.44140625" style="2"/>
    <col min="8206" max="8206" width="2.6640625" style="2" customWidth="1"/>
    <col min="8207" max="8207" width="12.6640625" style="2" customWidth="1"/>
    <col min="8208" max="8208" width="11.44140625" style="2"/>
    <col min="8209" max="8209" width="2.6640625" style="2" customWidth="1"/>
    <col min="8210" max="8210" width="12.6640625" style="2" customWidth="1"/>
    <col min="8211" max="8211" width="11.44140625" style="2"/>
    <col min="8212" max="8212" width="2.6640625" style="2" customWidth="1"/>
    <col min="8213" max="8213" width="12.6640625" style="2" customWidth="1"/>
    <col min="8214" max="8214" width="11.44140625" style="2" customWidth="1"/>
    <col min="8215" max="8215" width="2.6640625" style="2" customWidth="1"/>
    <col min="8216" max="8216" width="12.6640625" style="2" customWidth="1"/>
    <col min="8217" max="8217" width="11.44140625" style="2"/>
    <col min="8218" max="8218" width="2.6640625" style="2" customWidth="1"/>
    <col min="8219" max="8219" width="12.6640625" style="2" customWidth="1"/>
    <col min="8220" max="8220" width="11.44140625" style="2" customWidth="1"/>
    <col min="8221" max="8221" width="2.6640625" style="2" customWidth="1"/>
    <col min="8222" max="8222" width="12.6640625" style="2" customWidth="1"/>
    <col min="8223" max="8223" width="11.44140625" style="2" customWidth="1"/>
    <col min="8224" max="8224" width="2.6640625" style="2" customWidth="1"/>
    <col min="8225" max="8225" width="12.6640625" style="2" customWidth="1"/>
    <col min="8226" max="8226" width="11.44140625" style="2" customWidth="1"/>
    <col min="8227" max="8227" width="2.6640625" style="2" customWidth="1"/>
    <col min="8228" max="8228" width="12.6640625" style="2" customWidth="1"/>
    <col min="8229" max="8229" width="11.44140625" style="2" customWidth="1"/>
    <col min="8230" max="8230" width="2.6640625" style="2" customWidth="1"/>
    <col min="8231" max="8231" width="12.6640625" style="2" customWidth="1"/>
    <col min="8232" max="8232" width="11.44140625" style="2"/>
    <col min="8233" max="8233" width="2.6640625" style="2" customWidth="1"/>
    <col min="8234" max="8234" width="12.6640625" style="2" customWidth="1"/>
    <col min="8235" max="8235" width="11.44140625" style="2"/>
    <col min="8236" max="8236" width="2.6640625" style="2" customWidth="1"/>
    <col min="8237" max="8237" width="12.6640625" style="2" customWidth="1"/>
    <col min="8238" max="8457" width="11.44140625" style="2"/>
    <col min="8458" max="8458" width="53.109375" style="2" customWidth="1"/>
    <col min="8459" max="8459" width="2.6640625" style="2" customWidth="1"/>
    <col min="8460" max="8460" width="12.6640625" style="2" customWidth="1"/>
    <col min="8461" max="8461" width="11.44140625" style="2"/>
    <col min="8462" max="8462" width="2.6640625" style="2" customWidth="1"/>
    <col min="8463" max="8463" width="12.6640625" style="2" customWidth="1"/>
    <col min="8464" max="8464" width="11.44140625" style="2"/>
    <col min="8465" max="8465" width="2.6640625" style="2" customWidth="1"/>
    <col min="8466" max="8466" width="12.6640625" style="2" customWidth="1"/>
    <col min="8467" max="8467" width="11.44140625" style="2"/>
    <col min="8468" max="8468" width="2.6640625" style="2" customWidth="1"/>
    <col min="8469" max="8469" width="12.6640625" style="2" customWidth="1"/>
    <col min="8470" max="8470" width="11.44140625" style="2" customWidth="1"/>
    <col min="8471" max="8471" width="2.6640625" style="2" customWidth="1"/>
    <col min="8472" max="8472" width="12.6640625" style="2" customWidth="1"/>
    <col min="8473" max="8473" width="11.44140625" style="2"/>
    <col min="8474" max="8474" width="2.6640625" style="2" customWidth="1"/>
    <col min="8475" max="8475" width="12.6640625" style="2" customWidth="1"/>
    <col min="8476" max="8476" width="11.44140625" style="2" customWidth="1"/>
    <col min="8477" max="8477" width="2.6640625" style="2" customWidth="1"/>
    <col min="8478" max="8478" width="12.6640625" style="2" customWidth="1"/>
    <col min="8479" max="8479" width="11.44140625" style="2" customWidth="1"/>
    <col min="8480" max="8480" width="2.6640625" style="2" customWidth="1"/>
    <col min="8481" max="8481" width="12.6640625" style="2" customWidth="1"/>
    <col min="8482" max="8482" width="11.44140625" style="2" customWidth="1"/>
    <col min="8483" max="8483" width="2.6640625" style="2" customWidth="1"/>
    <col min="8484" max="8484" width="12.6640625" style="2" customWidth="1"/>
    <col min="8485" max="8485" width="11.44140625" style="2" customWidth="1"/>
    <col min="8486" max="8486" width="2.6640625" style="2" customWidth="1"/>
    <col min="8487" max="8487" width="12.6640625" style="2" customWidth="1"/>
    <col min="8488" max="8488" width="11.44140625" style="2"/>
    <col min="8489" max="8489" width="2.6640625" style="2" customWidth="1"/>
    <col min="8490" max="8490" width="12.6640625" style="2" customWidth="1"/>
    <col min="8491" max="8491" width="11.44140625" style="2"/>
    <col min="8492" max="8492" width="2.6640625" style="2" customWidth="1"/>
    <col min="8493" max="8493" width="12.6640625" style="2" customWidth="1"/>
    <col min="8494" max="8713" width="11.44140625" style="2"/>
    <col min="8714" max="8714" width="53.109375" style="2" customWidth="1"/>
    <col min="8715" max="8715" width="2.6640625" style="2" customWidth="1"/>
    <col min="8716" max="8716" width="12.6640625" style="2" customWidth="1"/>
    <col min="8717" max="8717" width="11.44140625" style="2"/>
    <col min="8718" max="8718" width="2.6640625" style="2" customWidth="1"/>
    <col min="8719" max="8719" width="12.6640625" style="2" customWidth="1"/>
    <col min="8720" max="8720" width="11.44140625" style="2"/>
    <col min="8721" max="8721" width="2.6640625" style="2" customWidth="1"/>
    <col min="8722" max="8722" width="12.6640625" style="2" customWidth="1"/>
    <col min="8723" max="8723" width="11.44140625" style="2"/>
    <col min="8724" max="8724" width="2.6640625" style="2" customWidth="1"/>
    <col min="8725" max="8725" width="12.6640625" style="2" customWidth="1"/>
    <col min="8726" max="8726" width="11.44140625" style="2" customWidth="1"/>
    <col min="8727" max="8727" width="2.6640625" style="2" customWidth="1"/>
    <col min="8728" max="8728" width="12.6640625" style="2" customWidth="1"/>
    <col min="8729" max="8729" width="11.44140625" style="2"/>
    <col min="8730" max="8730" width="2.6640625" style="2" customWidth="1"/>
    <col min="8731" max="8731" width="12.6640625" style="2" customWidth="1"/>
    <col min="8732" max="8732" width="11.44140625" style="2" customWidth="1"/>
    <col min="8733" max="8733" width="2.6640625" style="2" customWidth="1"/>
    <col min="8734" max="8734" width="12.6640625" style="2" customWidth="1"/>
    <col min="8735" max="8735" width="11.44140625" style="2" customWidth="1"/>
    <col min="8736" max="8736" width="2.6640625" style="2" customWidth="1"/>
    <col min="8737" max="8737" width="12.6640625" style="2" customWidth="1"/>
    <col min="8738" max="8738" width="11.44140625" style="2" customWidth="1"/>
    <col min="8739" max="8739" width="2.6640625" style="2" customWidth="1"/>
    <col min="8740" max="8740" width="12.6640625" style="2" customWidth="1"/>
    <col min="8741" max="8741" width="11.44140625" style="2" customWidth="1"/>
    <col min="8742" max="8742" width="2.6640625" style="2" customWidth="1"/>
    <col min="8743" max="8743" width="12.6640625" style="2" customWidth="1"/>
    <col min="8744" max="8744" width="11.44140625" style="2"/>
    <col min="8745" max="8745" width="2.6640625" style="2" customWidth="1"/>
    <col min="8746" max="8746" width="12.6640625" style="2" customWidth="1"/>
    <col min="8747" max="8747" width="11.44140625" style="2"/>
    <col min="8748" max="8748" width="2.6640625" style="2" customWidth="1"/>
    <col min="8749" max="8749" width="12.6640625" style="2" customWidth="1"/>
    <col min="8750" max="8969" width="11.44140625" style="2"/>
    <col min="8970" max="8970" width="53.109375" style="2" customWidth="1"/>
    <col min="8971" max="8971" width="2.6640625" style="2" customWidth="1"/>
    <col min="8972" max="8972" width="12.6640625" style="2" customWidth="1"/>
    <col min="8973" max="8973" width="11.44140625" style="2"/>
    <col min="8974" max="8974" width="2.6640625" style="2" customWidth="1"/>
    <col min="8975" max="8975" width="12.6640625" style="2" customWidth="1"/>
    <col min="8976" max="8976" width="11.44140625" style="2"/>
    <col min="8977" max="8977" width="2.6640625" style="2" customWidth="1"/>
    <col min="8978" max="8978" width="12.6640625" style="2" customWidth="1"/>
    <col min="8979" max="8979" width="11.44140625" style="2"/>
    <col min="8980" max="8980" width="2.6640625" style="2" customWidth="1"/>
    <col min="8981" max="8981" width="12.6640625" style="2" customWidth="1"/>
    <col min="8982" max="8982" width="11.44140625" style="2" customWidth="1"/>
    <col min="8983" max="8983" width="2.6640625" style="2" customWidth="1"/>
    <col min="8984" max="8984" width="12.6640625" style="2" customWidth="1"/>
    <col min="8985" max="8985" width="11.44140625" style="2"/>
    <col min="8986" max="8986" width="2.6640625" style="2" customWidth="1"/>
    <col min="8987" max="8987" width="12.6640625" style="2" customWidth="1"/>
    <col min="8988" max="8988" width="11.44140625" style="2" customWidth="1"/>
    <col min="8989" max="8989" width="2.6640625" style="2" customWidth="1"/>
    <col min="8990" max="8990" width="12.6640625" style="2" customWidth="1"/>
    <col min="8991" max="8991" width="11.44140625" style="2" customWidth="1"/>
    <col min="8992" max="8992" width="2.6640625" style="2" customWidth="1"/>
    <col min="8993" max="8993" width="12.6640625" style="2" customWidth="1"/>
    <col min="8994" max="8994" width="11.44140625" style="2" customWidth="1"/>
    <col min="8995" max="8995" width="2.6640625" style="2" customWidth="1"/>
    <col min="8996" max="8996" width="12.6640625" style="2" customWidth="1"/>
    <col min="8997" max="8997" width="11.44140625" style="2" customWidth="1"/>
    <col min="8998" max="8998" width="2.6640625" style="2" customWidth="1"/>
    <col min="8999" max="8999" width="12.6640625" style="2" customWidth="1"/>
    <col min="9000" max="9000" width="11.44140625" style="2"/>
    <col min="9001" max="9001" width="2.6640625" style="2" customWidth="1"/>
    <col min="9002" max="9002" width="12.6640625" style="2" customWidth="1"/>
    <col min="9003" max="9003" width="11.44140625" style="2"/>
    <col min="9004" max="9004" width="2.6640625" style="2" customWidth="1"/>
    <col min="9005" max="9005" width="12.6640625" style="2" customWidth="1"/>
    <col min="9006" max="9225" width="11.44140625" style="2"/>
    <col min="9226" max="9226" width="53.109375" style="2" customWidth="1"/>
    <col min="9227" max="9227" width="2.6640625" style="2" customWidth="1"/>
    <col min="9228" max="9228" width="12.6640625" style="2" customWidth="1"/>
    <col min="9229" max="9229" width="11.44140625" style="2"/>
    <col min="9230" max="9230" width="2.6640625" style="2" customWidth="1"/>
    <col min="9231" max="9231" width="12.6640625" style="2" customWidth="1"/>
    <col min="9232" max="9232" width="11.44140625" style="2"/>
    <col min="9233" max="9233" width="2.6640625" style="2" customWidth="1"/>
    <col min="9234" max="9234" width="12.6640625" style="2" customWidth="1"/>
    <col min="9235" max="9235" width="11.44140625" style="2"/>
    <col min="9236" max="9236" width="2.6640625" style="2" customWidth="1"/>
    <col min="9237" max="9237" width="12.6640625" style="2" customWidth="1"/>
    <col min="9238" max="9238" width="11.44140625" style="2" customWidth="1"/>
    <col min="9239" max="9239" width="2.6640625" style="2" customWidth="1"/>
    <col min="9240" max="9240" width="12.6640625" style="2" customWidth="1"/>
    <col min="9241" max="9241" width="11.44140625" style="2"/>
    <col min="9242" max="9242" width="2.6640625" style="2" customWidth="1"/>
    <col min="9243" max="9243" width="12.6640625" style="2" customWidth="1"/>
    <col min="9244" max="9244" width="11.44140625" style="2" customWidth="1"/>
    <col min="9245" max="9245" width="2.6640625" style="2" customWidth="1"/>
    <col min="9246" max="9246" width="12.6640625" style="2" customWidth="1"/>
    <col min="9247" max="9247" width="11.44140625" style="2" customWidth="1"/>
    <col min="9248" max="9248" width="2.6640625" style="2" customWidth="1"/>
    <col min="9249" max="9249" width="12.6640625" style="2" customWidth="1"/>
    <col min="9250" max="9250" width="11.44140625" style="2" customWidth="1"/>
    <col min="9251" max="9251" width="2.6640625" style="2" customWidth="1"/>
    <col min="9252" max="9252" width="12.6640625" style="2" customWidth="1"/>
    <col min="9253" max="9253" width="11.44140625" style="2" customWidth="1"/>
    <col min="9254" max="9254" width="2.6640625" style="2" customWidth="1"/>
    <col min="9255" max="9255" width="12.6640625" style="2" customWidth="1"/>
    <col min="9256" max="9256" width="11.44140625" style="2"/>
    <col min="9257" max="9257" width="2.6640625" style="2" customWidth="1"/>
    <col min="9258" max="9258" width="12.6640625" style="2" customWidth="1"/>
    <col min="9259" max="9259" width="11.44140625" style="2"/>
    <col min="9260" max="9260" width="2.6640625" style="2" customWidth="1"/>
    <col min="9261" max="9261" width="12.6640625" style="2" customWidth="1"/>
    <col min="9262" max="9481" width="11.44140625" style="2"/>
    <col min="9482" max="9482" width="53.109375" style="2" customWidth="1"/>
    <col min="9483" max="9483" width="2.6640625" style="2" customWidth="1"/>
    <col min="9484" max="9484" width="12.6640625" style="2" customWidth="1"/>
    <col min="9485" max="9485" width="11.44140625" style="2"/>
    <col min="9486" max="9486" width="2.6640625" style="2" customWidth="1"/>
    <col min="9487" max="9487" width="12.6640625" style="2" customWidth="1"/>
    <col min="9488" max="9488" width="11.44140625" style="2"/>
    <col min="9489" max="9489" width="2.6640625" style="2" customWidth="1"/>
    <col min="9490" max="9490" width="12.6640625" style="2" customWidth="1"/>
    <col min="9491" max="9491" width="11.44140625" style="2"/>
    <col min="9492" max="9492" width="2.6640625" style="2" customWidth="1"/>
    <col min="9493" max="9493" width="12.6640625" style="2" customWidth="1"/>
    <col min="9494" max="9494" width="11.44140625" style="2" customWidth="1"/>
    <col min="9495" max="9495" width="2.6640625" style="2" customWidth="1"/>
    <col min="9496" max="9496" width="12.6640625" style="2" customWidth="1"/>
    <col min="9497" max="9497" width="11.44140625" style="2"/>
    <col min="9498" max="9498" width="2.6640625" style="2" customWidth="1"/>
    <col min="9499" max="9499" width="12.6640625" style="2" customWidth="1"/>
    <col min="9500" max="9500" width="11.44140625" style="2" customWidth="1"/>
    <col min="9501" max="9501" width="2.6640625" style="2" customWidth="1"/>
    <col min="9502" max="9502" width="12.6640625" style="2" customWidth="1"/>
    <col min="9503" max="9503" width="11.44140625" style="2" customWidth="1"/>
    <col min="9504" max="9504" width="2.6640625" style="2" customWidth="1"/>
    <col min="9505" max="9505" width="12.6640625" style="2" customWidth="1"/>
    <col min="9506" max="9506" width="11.44140625" style="2" customWidth="1"/>
    <col min="9507" max="9507" width="2.6640625" style="2" customWidth="1"/>
    <col min="9508" max="9508" width="12.6640625" style="2" customWidth="1"/>
    <col min="9509" max="9509" width="11.44140625" style="2" customWidth="1"/>
    <col min="9510" max="9510" width="2.6640625" style="2" customWidth="1"/>
    <col min="9511" max="9511" width="12.6640625" style="2" customWidth="1"/>
    <col min="9512" max="9512" width="11.44140625" style="2"/>
    <col min="9513" max="9513" width="2.6640625" style="2" customWidth="1"/>
    <col min="9514" max="9514" width="12.6640625" style="2" customWidth="1"/>
    <col min="9515" max="9515" width="11.44140625" style="2"/>
    <col min="9516" max="9516" width="2.6640625" style="2" customWidth="1"/>
    <col min="9517" max="9517" width="12.6640625" style="2" customWidth="1"/>
    <col min="9518" max="9737" width="11.44140625" style="2"/>
    <col min="9738" max="9738" width="53.109375" style="2" customWidth="1"/>
    <col min="9739" max="9739" width="2.6640625" style="2" customWidth="1"/>
    <col min="9740" max="9740" width="12.6640625" style="2" customWidth="1"/>
    <col min="9741" max="9741" width="11.44140625" style="2"/>
    <col min="9742" max="9742" width="2.6640625" style="2" customWidth="1"/>
    <col min="9743" max="9743" width="12.6640625" style="2" customWidth="1"/>
    <col min="9744" max="9744" width="11.44140625" style="2"/>
    <col min="9745" max="9745" width="2.6640625" style="2" customWidth="1"/>
    <col min="9746" max="9746" width="12.6640625" style="2" customWidth="1"/>
    <col min="9747" max="9747" width="11.44140625" style="2"/>
    <col min="9748" max="9748" width="2.6640625" style="2" customWidth="1"/>
    <col min="9749" max="9749" width="12.6640625" style="2" customWidth="1"/>
    <col min="9750" max="9750" width="11.44140625" style="2" customWidth="1"/>
    <col min="9751" max="9751" width="2.6640625" style="2" customWidth="1"/>
    <col min="9752" max="9752" width="12.6640625" style="2" customWidth="1"/>
    <col min="9753" max="9753" width="11.44140625" style="2"/>
    <col min="9754" max="9754" width="2.6640625" style="2" customWidth="1"/>
    <col min="9755" max="9755" width="12.6640625" style="2" customWidth="1"/>
    <col min="9756" max="9756" width="11.44140625" style="2" customWidth="1"/>
    <col min="9757" max="9757" width="2.6640625" style="2" customWidth="1"/>
    <col min="9758" max="9758" width="12.6640625" style="2" customWidth="1"/>
    <col min="9759" max="9759" width="11.44140625" style="2" customWidth="1"/>
    <col min="9760" max="9760" width="2.6640625" style="2" customWidth="1"/>
    <col min="9761" max="9761" width="12.6640625" style="2" customWidth="1"/>
    <col min="9762" max="9762" width="11.44140625" style="2" customWidth="1"/>
    <col min="9763" max="9763" width="2.6640625" style="2" customWidth="1"/>
    <col min="9764" max="9764" width="12.6640625" style="2" customWidth="1"/>
    <col min="9765" max="9765" width="11.44140625" style="2" customWidth="1"/>
    <col min="9766" max="9766" width="2.6640625" style="2" customWidth="1"/>
    <col min="9767" max="9767" width="12.6640625" style="2" customWidth="1"/>
    <col min="9768" max="9768" width="11.44140625" style="2"/>
    <col min="9769" max="9769" width="2.6640625" style="2" customWidth="1"/>
    <col min="9770" max="9770" width="12.6640625" style="2" customWidth="1"/>
    <col min="9771" max="9771" width="11.44140625" style="2"/>
    <col min="9772" max="9772" width="2.6640625" style="2" customWidth="1"/>
    <col min="9773" max="9773" width="12.6640625" style="2" customWidth="1"/>
    <col min="9774" max="9993" width="11.44140625" style="2"/>
    <col min="9994" max="9994" width="53.109375" style="2" customWidth="1"/>
    <col min="9995" max="9995" width="2.6640625" style="2" customWidth="1"/>
    <col min="9996" max="9996" width="12.6640625" style="2" customWidth="1"/>
    <col min="9997" max="9997" width="11.44140625" style="2"/>
    <col min="9998" max="9998" width="2.6640625" style="2" customWidth="1"/>
    <col min="9999" max="9999" width="12.6640625" style="2" customWidth="1"/>
    <col min="10000" max="10000" width="11.44140625" style="2"/>
    <col min="10001" max="10001" width="2.6640625" style="2" customWidth="1"/>
    <col min="10002" max="10002" width="12.6640625" style="2" customWidth="1"/>
    <col min="10003" max="10003" width="11.44140625" style="2"/>
    <col min="10004" max="10004" width="2.6640625" style="2" customWidth="1"/>
    <col min="10005" max="10005" width="12.6640625" style="2" customWidth="1"/>
    <col min="10006" max="10006" width="11.44140625" style="2" customWidth="1"/>
    <col min="10007" max="10007" width="2.6640625" style="2" customWidth="1"/>
    <col min="10008" max="10008" width="12.6640625" style="2" customWidth="1"/>
    <col min="10009" max="10009" width="11.44140625" style="2"/>
    <col min="10010" max="10010" width="2.6640625" style="2" customWidth="1"/>
    <col min="10011" max="10011" width="12.6640625" style="2" customWidth="1"/>
    <col min="10012" max="10012" width="11.44140625" style="2" customWidth="1"/>
    <col min="10013" max="10013" width="2.6640625" style="2" customWidth="1"/>
    <col min="10014" max="10014" width="12.6640625" style="2" customWidth="1"/>
    <col min="10015" max="10015" width="11.44140625" style="2" customWidth="1"/>
    <col min="10016" max="10016" width="2.6640625" style="2" customWidth="1"/>
    <col min="10017" max="10017" width="12.6640625" style="2" customWidth="1"/>
    <col min="10018" max="10018" width="11.44140625" style="2" customWidth="1"/>
    <col min="10019" max="10019" width="2.6640625" style="2" customWidth="1"/>
    <col min="10020" max="10020" width="12.6640625" style="2" customWidth="1"/>
    <col min="10021" max="10021" width="11.44140625" style="2" customWidth="1"/>
    <col min="10022" max="10022" width="2.6640625" style="2" customWidth="1"/>
    <col min="10023" max="10023" width="12.6640625" style="2" customWidth="1"/>
    <col min="10024" max="10024" width="11.44140625" style="2"/>
    <col min="10025" max="10025" width="2.6640625" style="2" customWidth="1"/>
    <col min="10026" max="10026" width="12.6640625" style="2" customWidth="1"/>
    <col min="10027" max="10027" width="11.44140625" style="2"/>
    <col min="10028" max="10028" width="2.6640625" style="2" customWidth="1"/>
    <col min="10029" max="10029" width="12.6640625" style="2" customWidth="1"/>
    <col min="10030" max="10249" width="11.44140625" style="2"/>
    <col min="10250" max="10250" width="53.109375" style="2" customWidth="1"/>
    <col min="10251" max="10251" width="2.6640625" style="2" customWidth="1"/>
    <col min="10252" max="10252" width="12.6640625" style="2" customWidth="1"/>
    <col min="10253" max="10253" width="11.44140625" style="2"/>
    <col min="10254" max="10254" width="2.6640625" style="2" customWidth="1"/>
    <col min="10255" max="10255" width="12.6640625" style="2" customWidth="1"/>
    <col min="10256" max="10256" width="11.44140625" style="2"/>
    <col min="10257" max="10257" width="2.6640625" style="2" customWidth="1"/>
    <col min="10258" max="10258" width="12.6640625" style="2" customWidth="1"/>
    <col min="10259" max="10259" width="11.44140625" style="2"/>
    <col min="10260" max="10260" width="2.6640625" style="2" customWidth="1"/>
    <col min="10261" max="10261" width="12.6640625" style="2" customWidth="1"/>
    <col min="10262" max="10262" width="11.44140625" style="2" customWidth="1"/>
    <col min="10263" max="10263" width="2.6640625" style="2" customWidth="1"/>
    <col min="10264" max="10264" width="12.6640625" style="2" customWidth="1"/>
    <col min="10265" max="10265" width="11.44140625" style="2"/>
    <col min="10266" max="10266" width="2.6640625" style="2" customWidth="1"/>
    <col min="10267" max="10267" width="12.6640625" style="2" customWidth="1"/>
    <col min="10268" max="10268" width="11.44140625" style="2" customWidth="1"/>
    <col min="10269" max="10269" width="2.6640625" style="2" customWidth="1"/>
    <col min="10270" max="10270" width="12.6640625" style="2" customWidth="1"/>
    <col min="10271" max="10271" width="11.44140625" style="2" customWidth="1"/>
    <col min="10272" max="10272" width="2.6640625" style="2" customWidth="1"/>
    <col min="10273" max="10273" width="12.6640625" style="2" customWidth="1"/>
    <col min="10274" max="10274" width="11.44140625" style="2" customWidth="1"/>
    <col min="10275" max="10275" width="2.6640625" style="2" customWidth="1"/>
    <col min="10276" max="10276" width="12.6640625" style="2" customWidth="1"/>
    <col min="10277" max="10277" width="11.44140625" style="2" customWidth="1"/>
    <col min="10278" max="10278" width="2.6640625" style="2" customWidth="1"/>
    <col min="10279" max="10279" width="12.6640625" style="2" customWidth="1"/>
    <col min="10280" max="10280" width="11.44140625" style="2"/>
    <col min="10281" max="10281" width="2.6640625" style="2" customWidth="1"/>
    <col min="10282" max="10282" width="12.6640625" style="2" customWidth="1"/>
    <col min="10283" max="10283" width="11.44140625" style="2"/>
    <col min="10284" max="10284" width="2.6640625" style="2" customWidth="1"/>
    <col min="10285" max="10285" width="12.6640625" style="2" customWidth="1"/>
    <col min="10286" max="10505" width="11.44140625" style="2"/>
    <col min="10506" max="10506" width="53.109375" style="2" customWidth="1"/>
    <col min="10507" max="10507" width="2.6640625" style="2" customWidth="1"/>
    <col min="10508" max="10508" width="12.6640625" style="2" customWidth="1"/>
    <col min="10509" max="10509" width="11.44140625" style="2"/>
    <col min="10510" max="10510" width="2.6640625" style="2" customWidth="1"/>
    <col min="10511" max="10511" width="12.6640625" style="2" customWidth="1"/>
    <col min="10512" max="10512" width="11.44140625" style="2"/>
    <col min="10513" max="10513" width="2.6640625" style="2" customWidth="1"/>
    <col min="10514" max="10514" width="12.6640625" style="2" customWidth="1"/>
    <col min="10515" max="10515" width="11.44140625" style="2"/>
    <col min="10516" max="10516" width="2.6640625" style="2" customWidth="1"/>
    <col min="10517" max="10517" width="12.6640625" style="2" customWidth="1"/>
    <col min="10518" max="10518" width="11.44140625" style="2" customWidth="1"/>
    <col min="10519" max="10519" width="2.6640625" style="2" customWidth="1"/>
    <col min="10520" max="10520" width="12.6640625" style="2" customWidth="1"/>
    <col min="10521" max="10521" width="11.44140625" style="2"/>
    <col min="10522" max="10522" width="2.6640625" style="2" customWidth="1"/>
    <col min="10523" max="10523" width="12.6640625" style="2" customWidth="1"/>
    <col min="10524" max="10524" width="11.44140625" style="2" customWidth="1"/>
    <col min="10525" max="10525" width="2.6640625" style="2" customWidth="1"/>
    <col min="10526" max="10526" width="12.6640625" style="2" customWidth="1"/>
    <col min="10527" max="10527" width="11.44140625" style="2" customWidth="1"/>
    <col min="10528" max="10528" width="2.6640625" style="2" customWidth="1"/>
    <col min="10529" max="10529" width="12.6640625" style="2" customWidth="1"/>
    <col min="10530" max="10530" width="11.44140625" style="2" customWidth="1"/>
    <col min="10531" max="10531" width="2.6640625" style="2" customWidth="1"/>
    <col min="10532" max="10532" width="12.6640625" style="2" customWidth="1"/>
    <col min="10533" max="10533" width="11.44140625" style="2" customWidth="1"/>
    <col min="10534" max="10534" width="2.6640625" style="2" customWidth="1"/>
    <col min="10535" max="10535" width="12.6640625" style="2" customWidth="1"/>
    <col min="10536" max="10536" width="11.44140625" style="2"/>
    <col min="10537" max="10537" width="2.6640625" style="2" customWidth="1"/>
    <col min="10538" max="10538" width="12.6640625" style="2" customWidth="1"/>
    <col min="10539" max="10539" width="11.44140625" style="2"/>
    <col min="10540" max="10540" width="2.6640625" style="2" customWidth="1"/>
    <col min="10541" max="10541" width="12.6640625" style="2" customWidth="1"/>
    <col min="10542" max="10761" width="11.44140625" style="2"/>
    <col min="10762" max="10762" width="53.109375" style="2" customWidth="1"/>
    <col min="10763" max="10763" width="2.6640625" style="2" customWidth="1"/>
    <col min="10764" max="10764" width="12.6640625" style="2" customWidth="1"/>
    <col min="10765" max="10765" width="11.44140625" style="2"/>
    <col min="10766" max="10766" width="2.6640625" style="2" customWidth="1"/>
    <col min="10767" max="10767" width="12.6640625" style="2" customWidth="1"/>
    <col min="10768" max="10768" width="11.44140625" style="2"/>
    <col min="10769" max="10769" width="2.6640625" style="2" customWidth="1"/>
    <col min="10770" max="10770" width="12.6640625" style="2" customWidth="1"/>
    <col min="10771" max="10771" width="11.44140625" style="2"/>
    <col min="10772" max="10772" width="2.6640625" style="2" customWidth="1"/>
    <col min="10773" max="10773" width="12.6640625" style="2" customWidth="1"/>
    <col min="10774" max="10774" width="11.44140625" style="2" customWidth="1"/>
    <col min="10775" max="10775" width="2.6640625" style="2" customWidth="1"/>
    <col min="10776" max="10776" width="12.6640625" style="2" customWidth="1"/>
    <col min="10777" max="10777" width="11.44140625" style="2"/>
    <col min="10778" max="10778" width="2.6640625" style="2" customWidth="1"/>
    <col min="10779" max="10779" width="12.6640625" style="2" customWidth="1"/>
    <col min="10780" max="10780" width="11.44140625" style="2" customWidth="1"/>
    <col min="10781" max="10781" width="2.6640625" style="2" customWidth="1"/>
    <col min="10782" max="10782" width="12.6640625" style="2" customWidth="1"/>
    <col min="10783" max="10783" width="11.44140625" style="2" customWidth="1"/>
    <col min="10784" max="10784" width="2.6640625" style="2" customWidth="1"/>
    <col min="10785" max="10785" width="12.6640625" style="2" customWidth="1"/>
    <col min="10786" max="10786" width="11.44140625" style="2" customWidth="1"/>
    <col min="10787" max="10787" width="2.6640625" style="2" customWidth="1"/>
    <col min="10788" max="10788" width="12.6640625" style="2" customWidth="1"/>
    <col min="10789" max="10789" width="11.44140625" style="2" customWidth="1"/>
    <col min="10790" max="10790" width="2.6640625" style="2" customWidth="1"/>
    <col min="10791" max="10791" width="12.6640625" style="2" customWidth="1"/>
    <col min="10792" max="10792" width="11.44140625" style="2"/>
    <col min="10793" max="10793" width="2.6640625" style="2" customWidth="1"/>
    <col min="10794" max="10794" width="12.6640625" style="2" customWidth="1"/>
    <col min="10795" max="10795" width="11.44140625" style="2"/>
    <col min="10796" max="10796" width="2.6640625" style="2" customWidth="1"/>
    <col min="10797" max="10797" width="12.6640625" style="2" customWidth="1"/>
    <col min="10798" max="11017" width="11.44140625" style="2"/>
    <col min="11018" max="11018" width="53.109375" style="2" customWidth="1"/>
    <col min="11019" max="11019" width="2.6640625" style="2" customWidth="1"/>
    <col min="11020" max="11020" width="12.6640625" style="2" customWidth="1"/>
    <col min="11021" max="11021" width="11.44140625" style="2"/>
    <col min="11022" max="11022" width="2.6640625" style="2" customWidth="1"/>
    <col min="11023" max="11023" width="12.6640625" style="2" customWidth="1"/>
    <col min="11024" max="11024" width="11.44140625" style="2"/>
    <col min="11025" max="11025" width="2.6640625" style="2" customWidth="1"/>
    <col min="11026" max="11026" width="12.6640625" style="2" customWidth="1"/>
    <col min="11027" max="11027" width="11.44140625" style="2"/>
    <col min="11028" max="11028" width="2.6640625" style="2" customWidth="1"/>
    <col min="11029" max="11029" width="12.6640625" style="2" customWidth="1"/>
    <col min="11030" max="11030" width="11.44140625" style="2" customWidth="1"/>
    <col min="11031" max="11031" width="2.6640625" style="2" customWidth="1"/>
    <col min="11032" max="11032" width="12.6640625" style="2" customWidth="1"/>
    <col min="11033" max="11033" width="11.44140625" style="2"/>
    <col min="11034" max="11034" width="2.6640625" style="2" customWidth="1"/>
    <col min="11035" max="11035" width="12.6640625" style="2" customWidth="1"/>
    <col min="11036" max="11036" width="11.44140625" style="2" customWidth="1"/>
    <col min="11037" max="11037" width="2.6640625" style="2" customWidth="1"/>
    <col min="11038" max="11038" width="12.6640625" style="2" customWidth="1"/>
    <col min="11039" max="11039" width="11.44140625" style="2" customWidth="1"/>
    <col min="11040" max="11040" width="2.6640625" style="2" customWidth="1"/>
    <col min="11041" max="11041" width="12.6640625" style="2" customWidth="1"/>
    <col min="11042" max="11042" width="11.44140625" style="2" customWidth="1"/>
    <col min="11043" max="11043" width="2.6640625" style="2" customWidth="1"/>
    <col min="11044" max="11044" width="12.6640625" style="2" customWidth="1"/>
    <col min="11045" max="11045" width="11.44140625" style="2" customWidth="1"/>
    <col min="11046" max="11046" width="2.6640625" style="2" customWidth="1"/>
    <col min="11047" max="11047" width="12.6640625" style="2" customWidth="1"/>
    <col min="11048" max="11048" width="11.44140625" style="2"/>
    <col min="11049" max="11049" width="2.6640625" style="2" customWidth="1"/>
    <col min="11050" max="11050" width="12.6640625" style="2" customWidth="1"/>
    <col min="11051" max="11051" width="11.44140625" style="2"/>
    <col min="11052" max="11052" width="2.6640625" style="2" customWidth="1"/>
    <col min="11053" max="11053" width="12.6640625" style="2" customWidth="1"/>
    <col min="11054" max="11273" width="11.44140625" style="2"/>
    <col min="11274" max="11274" width="53.109375" style="2" customWidth="1"/>
    <col min="11275" max="11275" width="2.6640625" style="2" customWidth="1"/>
    <col min="11276" max="11276" width="12.6640625" style="2" customWidth="1"/>
    <col min="11277" max="11277" width="11.44140625" style="2"/>
    <col min="11278" max="11278" width="2.6640625" style="2" customWidth="1"/>
    <col min="11279" max="11279" width="12.6640625" style="2" customWidth="1"/>
    <col min="11280" max="11280" width="11.44140625" style="2"/>
    <col min="11281" max="11281" width="2.6640625" style="2" customWidth="1"/>
    <col min="11282" max="11282" width="12.6640625" style="2" customWidth="1"/>
    <col min="11283" max="11283" width="11.44140625" style="2"/>
    <col min="11284" max="11284" width="2.6640625" style="2" customWidth="1"/>
    <col min="11285" max="11285" width="12.6640625" style="2" customWidth="1"/>
    <col min="11286" max="11286" width="11.44140625" style="2" customWidth="1"/>
    <col min="11287" max="11287" width="2.6640625" style="2" customWidth="1"/>
    <col min="11288" max="11288" width="12.6640625" style="2" customWidth="1"/>
    <col min="11289" max="11289" width="11.44140625" style="2"/>
    <col min="11290" max="11290" width="2.6640625" style="2" customWidth="1"/>
    <col min="11291" max="11291" width="12.6640625" style="2" customWidth="1"/>
    <col min="11292" max="11292" width="11.44140625" style="2" customWidth="1"/>
    <col min="11293" max="11293" width="2.6640625" style="2" customWidth="1"/>
    <col min="11294" max="11294" width="12.6640625" style="2" customWidth="1"/>
    <col min="11295" max="11295" width="11.44140625" style="2" customWidth="1"/>
    <col min="11296" max="11296" width="2.6640625" style="2" customWidth="1"/>
    <col min="11297" max="11297" width="12.6640625" style="2" customWidth="1"/>
    <col min="11298" max="11298" width="11.44140625" style="2" customWidth="1"/>
    <col min="11299" max="11299" width="2.6640625" style="2" customWidth="1"/>
    <col min="11300" max="11300" width="12.6640625" style="2" customWidth="1"/>
    <col min="11301" max="11301" width="11.44140625" style="2" customWidth="1"/>
    <col min="11302" max="11302" width="2.6640625" style="2" customWidth="1"/>
    <col min="11303" max="11303" width="12.6640625" style="2" customWidth="1"/>
    <col min="11304" max="11304" width="11.44140625" style="2"/>
    <col min="11305" max="11305" width="2.6640625" style="2" customWidth="1"/>
    <col min="11306" max="11306" width="12.6640625" style="2" customWidth="1"/>
    <col min="11307" max="11307" width="11.44140625" style="2"/>
    <col min="11308" max="11308" width="2.6640625" style="2" customWidth="1"/>
    <col min="11309" max="11309" width="12.6640625" style="2" customWidth="1"/>
    <col min="11310" max="11529" width="11.44140625" style="2"/>
    <col min="11530" max="11530" width="53.109375" style="2" customWidth="1"/>
    <col min="11531" max="11531" width="2.6640625" style="2" customWidth="1"/>
    <col min="11532" max="11532" width="12.6640625" style="2" customWidth="1"/>
    <col min="11533" max="11533" width="11.44140625" style="2"/>
    <col min="11534" max="11534" width="2.6640625" style="2" customWidth="1"/>
    <col min="11535" max="11535" width="12.6640625" style="2" customWidth="1"/>
    <col min="11536" max="11536" width="11.44140625" style="2"/>
    <col min="11537" max="11537" width="2.6640625" style="2" customWidth="1"/>
    <col min="11538" max="11538" width="12.6640625" style="2" customWidth="1"/>
    <col min="11539" max="11539" width="11.44140625" style="2"/>
    <col min="11540" max="11540" width="2.6640625" style="2" customWidth="1"/>
    <col min="11541" max="11541" width="12.6640625" style="2" customWidth="1"/>
    <col min="11542" max="11542" width="11.44140625" style="2" customWidth="1"/>
    <col min="11543" max="11543" width="2.6640625" style="2" customWidth="1"/>
    <col min="11544" max="11544" width="12.6640625" style="2" customWidth="1"/>
    <col min="11545" max="11545" width="11.44140625" style="2"/>
    <col min="11546" max="11546" width="2.6640625" style="2" customWidth="1"/>
    <col min="11547" max="11547" width="12.6640625" style="2" customWidth="1"/>
    <col min="11548" max="11548" width="11.44140625" style="2" customWidth="1"/>
    <col min="11549" max="11549" width="2.6640625" style="2" customWidth="1"/>
    <col min="11550" max="11550" width="12.6640625" style="2" customWidth="1"/>
    <col min="11551" max="11551" width="11.44140625" style="2" customWidth="1"/>
    <col min="11552" max="11552" width="2.6640625" style="2" customWidth="1"/>
    <col min="11553" max="11553" width="12.6640625" style="2" customWidth="1"/>
    <col min="11554" max="11554" width="11.44140625" style="2" customWidth="1"/>
    <col min="11555" max="11555" width="2.6640625" style="2" customWidth="1"/>
    <col min="11556" max="11556" width="12.6640625" style="2" customWidth="1"/>
    <col min="11557" max="11557" width="11.44140625" style="2" customWidth="1"/>
    <col min="11558" max="11558" width="2.6640625" style="2" customWidth="1"/>
    <col min="11559" max="11559" width="12.6640625" style="2" customWidth="1"/>
    <col min="11560" max="11560" width="11.44140625" style="2"/>
    <col min="11561" max="11561" width="2.6640625" style="2" customWidth="1"/>
    <col min="11562" max="11562" width="12.6640625" style="2" customWidth="1"/>
    <col min="11563" max="11563" width="11.44140625" style="2"/>
    <col min="11564" max="11564" width="2.6640625" style="2" customWidth="1"/>
    <col min="11565" max="11565" width="12.6640625" style="2" customWidth="1"/>
    <col min="11566" max="11785" width="11.44140625" style="2"/>
    <col min="11786" max="11786" width="53.109375" style="2" customWidth="1"/>
    <col min="11787" max="11787" width="2.6640625" style="2" customWidth="1"/>
    <col min="11788" max="11788" width="12.6640625" style="2" customWidth="1"/>
    <col min="11789" max="11789" width="11.44140625" style="2"/>
    <col min="11790" max="11790" width="2.6640625" style="2" customWidth="1"/>
    <col min="11791" max="11791" width="12.6640625" style="2" customWidth="1"/>
    <col min="11792" max="11792" width="11.44140625" style="2"/>
    <col min="11793" max="11793" width="2.6640625" style="2" customWidth="1"/>
    <col min="11794" max="11794" width="12.6640625" style="2" customWidth="1"/>
    <col min="11795" max="11795" width="11.44140625" style="2"/>
    <col min="11796" max="11796" width="2.6640625" style="2" customWidth="1"/>
    <col min="11797" max="11797" width="12.6640625" style="2" customWidth="1"/>
    <col min="11798" max="11798" width="11.44140625" style="2" customWidth="1"/>
    <col min="11799" max="11799" width="2.6640625" style="2" customWidth="1"/>
    <col min="11800" max="11800" width="12.6640625" style="2" customWidth="1"/>
    <col min="11801" max="11801" width="11.44140625" style="2"/>
    <col min="11802" max="11802" width="2.6640625" style="2" customWidth="1"/>
    <col min="11803" max="11803" width="12.6640625" style="2" customWidth="1"/>
    <col min="11804" max="11804" width="11.44140625" style="2" customWidth="1"/>
    <col min="11805" max="11805" width="2.6640625" style="2" customWidth="1"/>
    <col min="11806" max="11806" width="12.6640625" style="2" customWidth="1"/>
    <col min="11807" max="11807" width="11.44140625" style="2" customWidth="1"/>
    <col min="11808" max="11808" width="2.6640625" style="2" customWidth="1"/>
    <col min="11809" max="11809" width="12.6640625" style="2" customWidth="1"/>
    <col min="11810" max="11810" width="11.44140625" style="2" customWidth="1"/>
    <col min="11811" max="11811" width="2.6640625" style="2" customWidth="1"/>
    <col min="11812" max="11812" width="12.6640625" style="2" customWidth="1"/>
    <col min="11813" max="11813" width="11.44140625" style="2" customWidth="1"/>
    <col min="11814" max="11814" width="2.6640625" style="2" customWidth="1"/>
    <col min="11815" max="11815" width="12.6640625" style="2" customWidth="1"/>
    <col min="11816" max="11816" width="11.44140625" style="2"/>
    <col min="11817" max="11817" width="2.6640625" style="2" customWidth="1"/>
    <col min="11818" max="11818" width="12.6640625" style="2" customWidth="1"/>
    <col min="11819" max="11819" width="11.44140625" style="2"/>
    <col min="11820" max="11820" width="2.6640625" style="2" customWidth="1"/>
    <col min="11821" max="11821" width="12.6640625" style="2" customWidth="1"/>
    <col min="11822" max="12041" width="11.44140625" style="2"/>
    <col min="12042" max="12042" width="53.109375" style="2" customWidth="1"/>
    <col min="12043" max="12043" width="2.6640625" style="2" customWidth="1"/>
    <col min="12044" max="12044" width="12.6640625" style="2" customWidth="1"/>
    <col min="12045" max="12045" width="11.44140625" style="2"/>
    <col min="12046" max="12046" width="2.6640625" style="2" customWidth="1"/>
    <col min="12047" max="12047" width="12.6640625" style="2" customWidth="1"/>
    <col min="12048" max="12048" width="11.44140625" style="2"/>
    <col min="12049" max="12049" width="2.6640625" style="2" customWidth="1"/>
    <col min="12050" max="12050" width="12.6640625" style="2" customWidth="1"/>
    <col min="12051" max="12051" width="11.44140625" style="2"/>
    <col min="12052" max="12052" width="2.6640625" style="2" customWidth="1"/>
    <col min="12053" max="12053" width="12.6640625" style="2" customWidth="1"/>
    <col min="12054" max="12054" width="11.44140625" style="2" customWidth="1"/>
    <col min="12055" max="12055" width="2.6640625" style="2" customWidth="1"/>
    <col min="12056" max="12056" width="12.6640625" style="2" customWidth="1"/>
    <col min="12057" max="12057" width="11.44140625" style="2"/>
    <col min="12058" max="12058" width="2.6640625" style="2" customWidth="1"/>
    <col min="12059" max="12059" width="12.6640625" style="2" customWidth="1"/>
    <col min="12060" max="12060" width="11.44140625" style="2" customWidth="1"/>
    <col min="12061" max="12061" width="2.6640625" style="2" customWidth="1"/>
    <col min="12062" max="12062" width="12.6640625" style="2" customWidth="1"/>
    <col min="12063" max="12063" width="11.44140625" style="2" customWidth="1"/>
    <col min="12064" max="12064" width="2.6640625" style="2" customWidth="1"/>
    <col min="12065" max="12065" width="12.6640625" style="2" customWidth="1"/>
    <col min="12066" max="12066" width="11.44140625" style="2" customWidth="1"/>
    <col min="12067" max="12067" width="2.6640625" style="2" customWidth="1"/>
    <col min="12068" max="12068" width="12.6640625" style="2" customWidth="1"/>
    <col min="12069" max="12069" width="11.44140625" style="2" customWidth="1"/>
    <col min="12070" max="12070" width="2.6640625" style="2" customWidth="1"/>
    <col min="12071" max="12071" width="12.6640625" style="2" customWidth="1"/>
    <col min="12072" max="12072" width="11.44140625" style="2"/>
    <col min="12073" max="12073" width="2.6640625" style="2" customWidth="1"/>
    <col min="12074" max="12074" width="12.6640625" style="2" customWidth="1"/>
    <col min="12075" max="12075" width="11.44140625" style="2"/>
    <col min="12076" max="12076" width="2.6640625" style="2" customWidth="1"/>
    <col min="12077" max="12077" width="12.6640625" style="2" customWidth="1"/>
    <col min="12078" max="12297" width="11.44140625" style="2"/>
    <col min="12298" max="12298" width="53.109375" style="2" customWidth="1"/>
    <col min="12299" max="12299" width="2.6640625" style="2" customWidth="1"/>
    <col min="12300" max="12300" width="12.6640625" style="2" customWidth="1"/>
    <col min="12301" max="12301" width="11.44140625" style="2"/>
    <col min="12302" max="12302" width="2.6640625" style="2" customWidth="1"/>
    <col min="12303" max="12303" width="12.6640625" style="2" customWidth="1"/>
    <col min="12304" max="12304" width="11.44140625" style="2"/>
    <col min="12305" max="12305" width="2.6640625" style="2" customWidth="1"/>
    <col min="12306" max="12306" width="12.6640625" style="2" customWidth="1"/>
    <col min="12307" max="12307" width="11.44140625" style="2"/>
    <col min="12308" max="12308" width="2.6640625" style="2" customWidth="1"/>
    <col min="12309" max="12309" width="12.6640625" style="2" customWidth="1"/>
    <col min="12310" max="12310" width="11.44140625" style="2" customWidth="1"/>
    <col min="12311" max="12311" width="2.6640625" style="2" customWidth="1"/>
    <col min="12312" max="12312" width="12.6640625" style="2" customWidth="1"/>
    <col min="12313" max="12313" width="11.44140625" style="2"/>
    <col min="12314" max="12314" width="2.6640625" style="2" customWidth="1"/>
    <col min="12315" max="12315" width="12.6640625" style="2" customWidth="1"/>
    <col min="12316" max="12316" width="11.44140625" style="2" customWidth="1"/>
    <col min="12317" max="12317" width="2.6640625" style="2" customWidth="1"/>
    <col min="12318" max="12318" width="12.6640625" style="2" customWidth="1"/>
    <col min="12319" max="12319" width="11.44140625" style="2" customWidth="1"/>
    <col min="12320" max="12320" width="2.6640625" style="2" customWidth="1"/>
    <col min="12321" max="12321" width="12.6640625" style="2" customWidth="1"/>
    <col min="12322" max="12322" width="11.44140625" style="2" customWidth="1"/>
    <col min="12323" max="12323" width="2.6640625" style="2" customWidth="1"/>
    <col min="12324" max="12324" width="12.6640625" style="2" customWidth="1"/>
    <col min="12325" max="12325" width="11.44140625" style="2" customWidth="1"/>
    <col min="12326" max="12326" width="2.6640625" style="2" customWidth="1"/>
    <col min="12327" max="12327" width="12.6640625" style="2" customWidth="1"/>
    <col min="12328" max="12328" width="11.44140625" style="2"/>
    <col min="12329" max="12329" width="2.6640625" style="2" customWidth="1"/>
    <col min="12330" max="12330" width="12.6640625" style="2" customWidth="1"/>
    <col min="12331" max="12331" width="11.44140625" style="2"/>
    <col min="12332" max="12332" width="2.6640625" style="2" customWidth="1"/>
    <col min="12333" max="12333" width="12.6640625" style="2" customWidth="1"/>
    <col min="12334" max="12553" width="11.44140625" style="2"/>
    <col min="12554" max="12554" width="53.109375" style="2" customWidth="1"/>
    <col min="12555" max="12555" width="2.6640625" style="2" customWidth="1"/>
    <col min="12556" max="12556" width="12.6640625" style="2" customWidth="1"/>
    <col min="12557" max="12557" width="11.44140625" style="2"/>
    <col min="12558" max="12558" width="2.6640625" style="2" customWidth="1"/>
    <col min="12559" max="12559" width="12.6640625" style="2" customWidth="1"/>
    <col min="12560" max="12560" width="11.44140625" style="2"/>
    <col min="12561" max="12561" width="2.6640625" style="2" customWidth="1"/>
    <col min="12562" max="12562" width="12.6640625" style="2" customWidth="1"/>
    <col min="12563" max="12563" width="11.44140625" style="2"/>
    <col min="12564" max="12564" width="2.6640625" style="2" customWidth="1"/>
    <col min="12565" max="12565" width="12.6640625" style="2" customWidth="1"/>
    <col min="12566" max="12566" width="11.44140625" style="2" customWidth="1"/>
    <col min="12567" max="12567" width="2.6640625" style="2" customWidth="1"/>
    <col min="12568" max="12568" width="12.6640625" style="2" customWidth="1"/>
    <col min="12569" max="12569" width="11.44140625" style="2"/>
    <col min="12570" max="12570" width="2.6640625" style="2" customWidth="1"/>
    <col min="12571" max="12571" width="12.6640625" style="2" customWidth="1"/>
    <col min="12572" max="12572" width="11.44140625" style="2" customWidth="1"/>
    <col min="12573" max="12573" width="2.6640625" style="2" customWidth="1"/>
    <col min="12574" max="12574" width="12.6640625" style="2" customWidth="1"/>
    <col min="12575" max="12575" width="11.44140625" style="2" customWidth="1"/>
    <col min="12576" max="12576" width="2.6640625" style="2" customWidth="1"/>
    <col min="12577" max="12577" width="12.6640625" style="2" customWidth="1"/>
    <col min="12578" max="12578" width="11.44140625" style="2" customWidth="1"/>
    <col min="12579" max="12579" width="2.6640625" style="2" customWidth="1"/>
    <col min="12580" max="12580" width="12.6640625" style="2" customWidth="1"/>
    <col min="12581" max="12581" width="11.44140625" style="2" customWidth="1"/>
    <col min="12582" max="12582" width="2.6640625" style="2" customWidth="1"/>
    <col min="12583" max="12583" width="12.6640625" style="2" customWidth="1"/>
    <col min="12584" max="12584" width="11.44140625" style="2"/>
    <col min="12585" max="12585" width="2.6640625" style="2" customWidth="1"/>
    <col min="12586" max="12586" width="12.6640625" style="2" customWidth="1"/>
    <col min="12587" max="12587" width="11.44140625" style="2"/>
    <col min="12588" max="12588" width="2.6640625" style="2" customWidth="1"/>
    <col min="12589" max="12589" width="12.6640625" style="2" customWidth="1"/>
    <col min="12590" max="12809" width="11.44140625" style="2"/>
    <col min="12810" max="12810" width="53.109375" style="2" customWidth="1"/>
    <col min="12811" max="12811" width="2.6640625" style="2" customWidth="1"/>
    <col min="12812" max="12812" width="12.6640625" style="2" customWidth="1"/>
    <col min="12813" max="12813" width="11.44140625" style="2"/>
    <col min="12814" max="12814" width="2.6640625" style="2" customWidth="1"/>
    <col min="12815" max="12815" width="12.6640625" style="2" customWidth="1"/>
    <col min="12816" max="12816" width="11.44140625" style="2"/>
    <col min="12817" max="12817" width="2.6640625" style="2" customWidth="1"/>
    <col min="12818" max="12818" width="12.6640625" style="2" customWidth="1"/>
    <col min="12819" max="12819" width="11.44140625" style="2"/>
    <col min="12820" max="12820" width="2.6640625" style="2" customWidth="1"/>
    <col min="12821" max="12821" width="12.6640625" style="2" customWidth="1"/>
    <col min="12822" max="12822" width="11.44140625" style="2" customWidth="1"/>
    <col min="12823" max="12823" width="2.6640625" style="2" customWidth="1"/>
    <col min="12824" max="12824" width="12.6640625" style="2" customWidth="1"/>
    <col min="12825" max="12825" width="11.44140625" style="2"/>
    <col min="12826" max="12826" width="2.6640625" style="2" customWidth="1"/>
    <col min="12827" max="12827" width="12.6640625" style="2" customWidth="1"/>
    <col min="12828" max="12828" width="11.44140625" style="2" customWidth="1"/>
    <col min="12829" max="12829" width="2.6640625" style="2" customWidth="1"/>
    <col min="12830" max="12830" width="12.6640625" style="2" customWidth="1"/>
    <col min="12831" max="12831" width="11.44140625" style="2" customWidth="1"/>
    <col min="12832" max="12832" width="2.6640625" style="2" customWidth="1"/>
    <col min="12833" max="12833" width="12.6640625" style="2" customWidth="1"/>
    <col min="12834" max="12834" width="11.44140625" style="2" customWidth="1"/>
    <col min="12835" max="12835" width="2.6640625" style="2" customWidth="1"/>
    <col min="12836" max="12836" width="12.6640625" style="2" customWidth="1"/>
    <col min="12837" max="12837" width="11.44140625" style="2" customWidth="1"/>
    <col min="12838" max="12838" width="2.6640625" style="2" customWidth="1"/>
    <col min="12839" max="12839" width="12.6640625" style="2" customWidth="1"/>
    <col min="12840" max="12840" width="11.44140625" style="2"/>
    <col min="12841" max="12841" width="2.6640625" style="2" customWidth="1"/>
    <col min="12842" max="12842" width="12.6640625" style="2" customWidth="1"/>
    <col min="12843" max="12843" width="11.44140625" style="2"/>
    <col min="12844" max="12844" width="2.6640625" style="2" customWidth="1"/>
    <col min="12845" max="12845" width="12.6640625" style="2" customWidth="1"/>
    <col min="12846" max="13065" width="11.44140625" style="2"/>
    <col min="13066" max="13066" width="53.109375" style="2" customWidth="1"/>
    <col min="13067" max="13067" width="2.6640625" style="2" customWidth="1"/>
    <col min="13068" max="13068" width="12.6640625" style="2" customWidth="1"/>
    <col min="13069" max="13069" width="11.44140625" style="2"/>
    <col min="13070" max="13070" width="2.6640625" style="2" customWidth="1"/>
    <col min="13071" max="13071" width="12.6640625" style="2" customWidth="1"/>
    <col min="13072" max="13072" width="11.44140625" style="2"/>
    <col min="13073" max="13073" width="2.6640625" style="2" customWidth="1"/>
    <col min="13074" max="13074" width="12.6640625" style="2" customWidth="1"/>
    <col min="13075" max="13075" width="11.44140625" style="2"/>
    <col min="13076" max="13076" width="2.6640625" style="2" customWidth="1"/>
    <col min="13077" max="13077" width="12.6640625" style="2" customWidth="1"/>
    <col min="13078" max="13078" width="11.44140625" style="2" customWidth="1"/>
    <col min="13079" max="13079" width="2.6640625" style="2" customWidth="1"/>
    <col min="13080" max="13080" width="12.6640625" style="2" customWidth="1"/>
    <col min="13081" max="13081" width="11.44140625" style="2"/>
    <col min="13082" max="13082" width="2.6640625" style="2" customWidth="1"/>
    <col min="13083" max="13083" width="12.6640625" style="2" customWidth="1"/>
    <col min="13084" max="13084" width="11.44140625" style="2" customWidth="1"/>
    <col min="13085" max="13085" width="2.6640625" style="2" customWidth="1"/>
    <col min="13086" max="13086" width="12.6640625" style="2" customWidth="1"/>
    <col min="13087" max="13087" width="11.44140625" style="2" customWidth="1"/>
    <col min="13088" max="13088" width="2.6640625" style="2" customWidth="1"/>
    <col min="13089" max="13089" width="12.6640625" style="2" customWidth="1"/>
    <col min="13090" max="13090" width="11.44140625" style="2" customWidth="1"/>
    <col min="13091" max="13091" width="2.6640625" style="2" customWidth="1"/>
    <col min="13092" max="13092" width="12.6640625" style="2" customWidth="1"/>
    <col min="13093" max="13093" width="11.44140625" style="2" customWidth="1"/>
    <col min="13094" max="13094" width="2.6640625" style="2" customWidth="1"/>
    <col min="13095" max="13095" width="12.6640625" style="2" customWidth="1"/>
    <col min="13096" max="13096" width="11.44140625" style="2"/>
    <col min="13097" max="13097" width="2.6640625" style="2" customWidth="1"/>
    <col min="13098" max="13098" width="12.6640625" style="2" customWidth="1"/>
    <col min="13099" max="13099" width="11.44140625" style="2"/>
    <col min="13100" max="13100" width="2.6640625" style="2" customWidth="1"/>
    <col min="13101" max="13101" width="12.6640625" style="2" customWidth="1"/>
    <col min="13102" max="13321" width="11.44140625" style="2"/>
    <col min="13322" max="13322" width="53.109375" style="2" customWidth="1"/>
    <col min="13323" max="13323" width="2.6640625" style="2" customWidth="1"/>
    <col min="13324" max="13324" width="12.6640625" style="2" customWidth="1"/>
    <col min="13325" max="13325" width="11.44140625" style="2"/>
    <col min="13326" max="13326" width="2.6640625" style="2" customWidth="1"/>
    <col min="13327" max="13327" width="12.6640625" style="2" customWidth="1"/>
    <col min="13328" max="13328" width="11.44140625" style="2"/>
    <col min="13329" max="13329" width="2.6640625" style="2" customWidth="1"/>
    <col min="13330" max="13330" width="12.6640625" style="2" customWidth="1"/>
    <col min="13331" max="13331" width="11.44140625" style="2"/>
    <col min="13332" max="13332" width="2.6640625" style="2" customWidth="1"/>
    <col min="13333" max="13333" width="12.6640625" style="2" customWidth="1"/>
    <col min="13334" max="13334" width="11.44140625" style="2" customWidth="1"/>
    <col min="13335" max="13335" width="2.6640625" style="2" customWidth="1"/>
    <col min="13336" max="13336" width="12.6640625" style="2" customWidth="1"/>
    <col min="13337" max="13337" width="11.44140625" style="2"/>
    <col min="13338" max="13338" width="2.6640625" style="2" customWidth="1"/>
    <col min="13339" max="13339" width="12.6640625" style="2" customWidth="1"/>
    <col min="13340" max="13340" width="11.44140625" style="2" customWidth="1"/>
    <col min="13341" max="13341" width="2.6640625" style="2" customWidth="1"/>
    <col min="13342" max="13342" width="12.6640625" style="2" customWidth="1"/>
    <col min="13343" max="13343" width="11.44140625" style="2" customWidth="1"/>
    <col min="13344" max="13344" width="2.6640625" style="2" customWidth="1"/>
    <col min="13345" max="13345" width="12.6640625" style="2" customWidth="1"/>
    <col min="13346" max="13346" width="11.44140625" style="2" customWidth="1"/>
    <col min="13347" max="13347" width="2.6640625" style="2" customWidth="1"/>
    <col min="13348" max="13348" width="12.6640625" style="2" customWidth="1"/>
    <col min="13349" max="13349" width="11.44140625" style="2" customWidth="1"/>
    <col min="13350" max="13350" width="2.6640625" style="2" customWidth="1"/>
    <col min="13351" max="13351" width="12.6640625" style="2" customWidth="1"/>
    <col min="13352" max="13352" width="11.44140625" style="2"/>
    <col min="13353" max="13353" width="2.6640625" style="2" customWidth="1"/>
    <col min="13354" max="13354" width="12.6640625" style="2" customWidth="1"/>
    <col min="13355" max="13355" width="11.44140625" style="2"/>
    <col min="13356" max="13356" width="2.6640625" style="2" customWidth="1"/>
    <col min="13357" max="13357" width="12.6640625" style="2" customWidth="1"/>
    <col min="13358" max="13577" width="11.44140625" style="2"/>
    <col min="13578" max="13578" width="53.109375" style="2" customWidth="1"/>
    <col min="13579" max="13579" width="2.6640625" style="2" customWidth="1"/>
    <col min="13580" max="13580" width="12.6640625" style="2" customWidth="1"/>
    <col min="13581" max="13581" width="11.44140625" style="2"/>
    <col min="13582" max="13582" width="2.6640625" style="2" customWidth="1"/>
    <col min="13583" max="13583" width="12.6640625" style="2" customWidth="1"/>
    <col min="13584" max="13584" width="11.44140625" style="2"/>
    <col min="13585" max="13585" width="2.6640625" style="2" customWidth="1"/>
    <col min="13586" max="13586" width="12.6640625" style="2" customWidth="1"/>
    <col min="13587" max="13587" width="11.44140625" style="2"/>
    <col min="13588" max="13588" width="2.6640625" style="2" customWidth="1"/>
    <col min="13589" max="13589" width="12.6640625" style="2" customWidth="1"/>
    <col min="13590" max="13590" width="11.44140625" style="2" customWidth="1"/>
    <col min="13591" max="13591" width="2.6640625" style="2" customWidth="1"/>
    <col min="13592" max="13592" width="12.6640625" style="2" customWidth="1"/>
    <col min="13593" max="13593" width="11.44140625" style="2"/>
    <col min="13594" max="13594" width="2.6640625" style="2" customWidth="1"/>
    <col min="13595" max="13595" width="12.6640625" style="2" customWidth="1"/>
    <col min="13596" max="13596" width="11.44140625" style="2" customWidth="1"/>
    <col min="13597" max="13597" width="2.6640625" style="2" customWidth="1"/>
    <col min="13598" max="13598" width="12.6640625" style="2" customWidth="1"/>
    <col min="13599" max="13599" width="11.44140625" style="2" customWidth="1"/>
    <col min="13600" max="13600" width="2.6640625" style="2" customWidth="1"/>
    <col min="13601" max="13601" width="12.6640625" style="2" customWidth="1"/>
    <col min="13602" max="13602" width="11.44140625" style="2" customWidth="1"/>
    <col min="13603" max="13603" width="2.6640625" style="2" customWidth="1"/>
    <col min="13604" max="13604" width="12.6640625" style="2" customWidth="1"/>
    <col min="13605" max="13605" width="11.44140625" style="2" customWidth="1"/>
    <col min="13606" max="13606" width="2.6640625" style="2" customWidth="1"/>
    <col min="13607" max="13607" width="12.6640625" style="2" customWidth="1"/>
    <col min="13608" max="13608" width="11.44140625" style="2"/>
    <col min="13609" max="13609" width="2.6640625" style="2" customWidth="1"/>
    <col min="13610" max="13610" width="12.6640625" style="2" customWidth="1"/>
    <col min="13611" max="13611" width="11.44140625" style="2"/>
    <col min="13612" max="13612" width="2.6640625" style="2" customWidth="1"/>
    <col min="13613" max="13613" width="12.6640625" style="2" customWidth="1"/>
    <col min="13614" max="13833" width="11.44140625" style="2"/>
    <col min="13834" max="13834" width="53.109375" style="2" customWidth="1"/>
    <col min="13835" max="13835" width="2.6640625" style="2" customWidth="1"/>
    <col min="13836" max="13836" width="12.6640625" style="2" customWidth="1"/>
    <col min="13837" max="13837" width="11.44140625" style="2"/>
    <col min="13838" max="13838" width="2.6640625" style="2" customWidth="1"/>
    <col min="13839" max="13839" width="12.6640625" style="2" customWidth="1"/>
    <col min="13840" max="13840" width="11.44140625" style="2"/>
    <col min="13841" max="13841" width="2.6640625" style="2" customWidth="1"/>
    <col min="13842" max="13842" width="12.6640625" style="2" customWidth="1"/>
    <col min="13843" max="13843" width="11.44140625" style="2"/>
    <col min="13844" max="13844" width="2.6640625" style="2" customWidth="1"/>
    <col min="13845" max="13845" width="12.6640625" style="2" customWidth="1"/>
    <col min="13846" max="13846" width="11.44140625" style="2" customWidth="1"/>
    <col min="13847" max="13847" width="2.6640625" style="2" customWidth="1"/>
    <col min="13848" max="13848" width="12.6640625" style="2" customWidth="1"/>
    <col min="13849" max="13849" width="11.44140625" style="2"/>
    <col min="13850" max="13850" width="2.6640625" style="2" customWidth="1"/>
    <col min="13851" max="13851" width="12.6640625" style="2" customWidth="1"/>
    <col min="13852" max="13852" width="11.44140625" style="2" customWidth="1"/>
    <col min="13853" max="13853" width="2.6640625" style="2" customWidth="1"/>
    <col min="13854" max="13854" width="12.6640625" style="2" customWidth="1"/>
    <col min="13855" max="13855" width="11.44140625" style="2" customWidth="1"/>
    <col min="13856" max="13856" width="2.6640625" style="2" customWidth="1"/>
    <col min="13857" max="13857" width="12.6640625" style="2" customWidth="1"/>
    <col min="13858" max="13858" width="11.44140625" style="2" customWidth="1"/>
    <col min="13859" max="13859" width="2.6640625" style="2" customWidth="1"/>
    <col min="13860" max="13860" width="12.6640625" style="2" customWidth="1"/>
    <col min="13861" max="13861" width="11.44140625" style="2" customWidth="1"/>
    <col min="13862" max="13862" width="2.6640625" style="2" customWidth="1"/>
    <col min="13863" max="13863" width="12.6640625" style="2" customWidth="1"/>
    <col min="13864" max="13864" width="11.44140625" style="2"/>
    <col min="13865" max="13865" width="2.6640625" style="2" customWidth="1"/>
    <col min="13866" max="13866" width="12.6640625" style="2" customWidth="1"/>
    <col min="13867" max="13867" width="11.44140625" style="2"/>
    <col min="13868" max="13868" width="2.6640625" style="2" customWidth="1"/>
    <col min="13869" max="13869" width="12.6640625" style="2" customWidth="1"/>
    <col min="13870" max="14089" width="11.44140625" style="2"/>
    <col min="14090" max="14090" width="53.109375" style="2" customWidth="1"/>
    <col min="14091" max="14091" width="2.6640625" style="2" customWidth="1"/>
    <col min="14092" max="14092" width="12.6640625" style="2" customWidth="1"/>
    <col min="14093" max="14093" width="11.44140625" style="2"/>
    <col min="14094" max="14094" width="2.6640625" style="2" customWidth="1"/>
    <col min="14095" max="14095" width="12.6640625" style="2" customWidth="1"/>
    <col min="14096" max="14096" width="11.44140625" style="2"/>
    <col min="14097" max="14097" width="2.6640625" style="2" customWidth="1"/>
    <col min="14098" max="14098" width="12.6640625" style="2" customWidth="1"/>
    <col min="14099" max="14099" width="11.44140625" style="2"/>
    <col min="14100" max="14100" width="2.6640625" style="2" customWidth="1"/>
    <col min="14101" max="14101" width="12.6640625" style="2" customWidth="1"/>
    <col min="14102" max="14102" width="11.44140625" style="2" customWidth="1"/>
    <col min="14103" max="14103" width="2.6640625" style="2" customWidth="1"/>
    <col min="14104" max="14104" width="12.6640625" style="2" customWidth="1"/>
    <col min="14105" max="14105" width="11.44140625" style="2"/>
    <col min="14106" max="14106" width="2.6640625" style="2" customWidth="1"/>
    <col min="14107" max="14107" width="12.6640625" style="2" customWidth="1"/>
    <col min="14108" max="14108" width="11.44140625" style="2" customWidth="1"/>
    <col min="14109" max="14109" width="2.6640625" style="2" customWidth="1"/>
    <col min="14110" max="14110" width="12.6640625" style="2" customWidth="1"/>
    <col min="14111" max="14111" width="11.44140625" style="2" customWidth="1"/>
    <col min="14112" max="14112" width="2.6640625" style="2" customWidth="1"/>
    <col min="14113" max="14113" width="12.6640625" style="2" customWidth="1"/>
    <col min="14114" max="14114" width="11.44140625" style="2" customWidth="1"/>
    <col min="14115" max="14115" width="2.6640625" style="2" customWidth="1"/>
    <col min="14116" max="14116" width="12.6640625" style="2" customWidth="1"/>
    <col min="14117" max="14117" width="11.44140625" style="2" customWidth="1"/>
    <col min="14118" max="14118" width="2.6640625" style="2" customWidth="1"/>
    <col min="14119" max="14119" width="12.6640625" style="2" customWidth="1"/>
    <col min="14120" max="14120" width="11.44140625" style="2"/>
    <col min="14121" max="14121" width="2.6640625" style="2" customWidth="1"/>
    <col min="14122" max="14122" width="12.6640625" style="2" customWidth="1"/>
    <col min="14123" max="14123" width="11.44140625" style="2"/>
    <col min="14124" max="14124" width="2.6640625" style="2" customWidth="1"/>
    <col min="14125" max="14125" width="12.6640625" style="2" customWidth="1"/>
    <col min="14126" max="14345" width="11.44140625" style="2"/>
    <col min="14346" max="14346" width="53.109375" style="2" customWidth="1"/>
    <col min="14347" max="14347" width="2.6640625" style="2" customWidth="1"/>
    <col min="14348" max="14348" width="12.6640625" style="2" customWidth="1"/>
    <col min="14349" max="14349" width="11.44140625" style="2"/>
    <col min="14350" max="14350" width="2.6640625" style="2" customWidth="1"/>
    <col min="14351" max="14351" width="12.6640625" style="2" customWidth="1"/>
    <col min="14352" max="14352" width="11.44140625" style="2"/>
    <col min="14353" max="14353" width="2.6640625" style="2" customWidth="1"/>
    <col min="14354" max="14354" width="12.6640625" style="2" customWidth="1"/>
    <col min="14355" max="14355" width="11.44140625" style="2"/>
    <col min="14356" max="14356" width="2.6640625" style="2" customWidth="1"/>
    <col min="14357" max="14357" width="12.6640625" style="2" customWidth="1"/>
    <col min="14358" max="14358" width="11.44140625" style="2" customWidth="1"/>
    <col min="14359" max="14359" width="2.6640625" style="2" customWidth="1"/>
    <col min="14360" max="14360" width="12.6640625" style="2" customWidth="1"/>
    <col min="14361" max="14361" width="11.44140625" style="2"/>
    <col min="14362" max="14362" width="2.6640625" style="2" customWidth="1"/>
    <col min="14363" max="14363" width="12.6640625" style="2" customWidth="1"/>
    <col min="14364" max="14364" width="11.44140625" style="2" customWidth="1"/>
    <col min="14365" max="14365" width="2.6640625" style="2" customWidth="1"/>
    <col min="14366" max="14366" width="12.6640625" style="2" customWidth="1"/>
    <col min="14367" max="14367" width="11.44140625" style="2" customWidth="1"/>
    <col min="14368" max="14368" width="2.6640625" style="2" customWidth="1"/>
    <col min="14369" max="14369" width="12.6640625" style="2" customWidth="1"/>
    <col min="14370" max="14370" width="11.44140625" style="2" customWidth="1"/>
    <col min="14371" max="14371" width="2.6640625" style="2" customWidth="1"/>
    <col min="14372" max="14372" width="12.6640625" style="2" customWidth="1"/>
    <col min="14373" max="14373" width="11.44140625" style="2" customWidth="1"/>
    <col min="14374" max="14374" width="2.6640625" style="2" customWidth="1"/>
    <col min="14375" max="14375" width="12.6640625" style="2" customWidth="1"/>
    <col min="14376" max="14376" width="11.44140625" style="2"/>
    <col min="14377" max="14377" width="2.6640625" style="2" customWidth="1"/>
    <col min="14378" max="14378" width="12.6640625" style="2" customWidth="1"/>
    <col min="14379" max="14379" width="11.44140625" style="2"/>
    <col min="14380" max="14380" width="2.6640625" style="2" customWidth="1"/>
    <col min="14381" max="14381" width="12.6640625" style="2" customWidth="1"/>
    <col min="14382" max="14601" width="11.44140625" style="2"/>
    <col min="14602" max="14602" width="53.109375" style="2" customWidth="1"/>
    <col min="14603" max="14603" width="2.6640625" style="2" customWidth="1"/>
    <col min="14604" max="14604" width="12.6640625" style="2" customWidth="1"/>
    <col min="14605" max="14605" width="11.44140625" style="2"/>
    <col min="14606" max="14606" width="2.6640625" style="2" customWidth="1"/>
    <col min="14607" max="14607" width="12.6640625" style="2" customWidth="1"/>
    <col min="14608" max="14608" width="11.44140625" style="2"/>
    <col min="14609" max="14609" width="2.6640625" style="2" customWidth="1"/>
    <col min="14610" max="14610" width="12.6640625" style="2" customWidth="1"/>
    <col min="14611" max="14611" width="11.44140625" style="2"/>
    <col min="14612" max="14612" width="2.6640625" style="2" customWidth="1"/>
    <col min="14613" max="14613" width="12.6640625" style="2" customWidth="1"/>
    <col min="14614" max="14614" width="11.44140625" style="2" customWidth="1"/>
    <col min="14615" max="14615" width="2.6640625" style="2" customWidth="1"/>
    <col min="14616" max="14616" width="12.6640625" style="2" customWidth="1"/>
    <col min="14617" max="14617" width="11.44140625" style="2"/>
    <col min="14618" max="14618" width="2.6640625" style="2" customWidth="1"/>
    <col min="14619" max="14619" width="12.6640625" style="2" customWidth="1"/>
    <col min="14620" max="14620" width="11.44140625" style="2" customWidth="1"/>
    <col min="14621" max="14621" width="2.6640625" style="2" customWidth="1"/>
    <col min="14622" max="14622" width="12.6640625" style="2" customWidth="1"/>
    <col min="14623" max="14623" width="11.44140625" style="2" customWidth="1"/>
    <col min="14624" max="14624" width="2.6640625" style="2" customWidth="1"/>
    <col min="14625" max="14625" width="12.6640625" style="2" customWidth="1"/>
    <col min="14626" max="14626" width="11.44140625" style="2" customWidth="1"/>
    <col min="14627" max="14627" width="2.6640625" style="2" customWidth="1"/>
    <col min="14628" max="14628" width="12.6640625" style="2" customWidth="1"/>
    <col min="14629" max="14629" width="11.44140625" style="2" customWidth="1"/>
    <col min="14630" max="14630" width="2.6640625" style="2" customWidth="1"/>
    <col min="14631" max="14631" width="12.6640625" style="2" customWidth="1"/>
    <col min="14632" max="14632" width="11.44140625" style="2"/>
    <col min="14633" max="14633" width="2.6640625" style="2" customWidth="1"/>
    <col min="14634" max="14634" width="12.6640625" style="2" customWidth="1"/>
    <col min="14635" max="14635" width="11.44140625" style="2"/>
    <col min="14636" max="14636" width="2.6640625" style="2" customWidth="1"/>
    <col min="14637" max="14637" width="12.6640625" style="2" customWidth="1"/>
    <col min="14638" max="14857" width="11.44140625" style="2"/>
    <col min="14858" max="14858" width="53.109375" style="2" customWidth="1"/>
    <col min="14859" max="14859" width="2.6640625" style="2" customWidth="1"/>
    <col min="14860" max="14860" width="12.6640625" style="2" customWidth="1"/>
    <col min="14861" max="14861" width="11.44140625" style="2"/>
    <col min="14862" max="14862" width="2.6640625" style="2" customWidth="1"/>
    <col min="14863" max="14863" width="12.6640625" style="2" customWidth="1"/>
    <col min="14864" max="14864" width="11.44140625" style="2"/>
    <col min="14865" max="14865" width="2.6640625" style="2" customWidth="1"/>
    <col min="14866" max="14866" width="12.6640625" style="2" customWidth="1"/>
    <col min="14867" max="14867" width="11.44140625" style="2"/>
    <col min="14868" max="14868" width="2.6640625" style="2" customWidth="1"/>
    <col min="14869" max="14869" width="12.6640625" style="2" customWidth="1"/>
    <col min="14870" max="14870" width="11.44140625" style="2" customWidth="1"/>
    <col min="14871" max="14871" width="2.6640625" style="2" customWidth="1"/>
    <col min="14872" max="14872" width="12.6640625" style="2" customWidth="1"/>
    <col min="14873" max="14873" width="11.44140625" style="2"/>
    <col min="14874" max="14874" width="2.6640625" style="2" customWidth="1"/>
    <col min="14875" max="14875" width="12.6640625" style="2" customWidth="1"/>
    <col min="14876" max="14876" width="11.44140625" style="2" customWidth="1"/>
    <col min="14877" max="14877" width="2.6640625" style="2" customWidth="1"/>
    <col min="14878" max="14878" width="12.6640625" style="2" customWidth="1"/>
    <col min="14879" max="14879" width="11.44140625" style="2" customWidth="1"/>
    <col min="14880" max="14880" width="2.6640625" style="2" customWidth="1"/>
    <col min="14881" max="14881" width="12.6640625" style="2" customWidth="1"/>
    <col min="14882" max="14882" width="11.44140625" style="2" customWidth="1"/>
    <col min="14883" max="14883" width="2.6640625" style="2" customWidth="1"/>
    <col min="14884" max="14884" width="12.6640625" style="2" customWidth="1"/>
    <col min="14885" max="14885" width="11.44140625" style="2" customWidth="1"/>
    <col min="14886" max="14886" width="2.6640625" style="2" customWidth="1"/>
    <col min="14887" max="14887" width="12.6640625" style="2" customWidth="1"/>
    <col min="14888" max="14888" width="11.44140625" style="2"/>
    <col min="14889" max="14889" width="2.6640625" style="2" customWidth="1"/>
    <col min="14890" max="14890" width="12.6640625" style="2" customWidth="1"/>
    <col min="14891" max="14891" width="11.44140625" style="2"/>
    <col min="14892" max="14892" width="2.6640625" style="2" customWidth="1"/>
    <col min="14893" max="14893" width="12.6640625" style="2" customWidth="1"/>
    <col min="14894" max="15113" width="11.44140625" style="2"/>
    <col min="15114" max="15114" width="53.109375" style="2" customWidth="1"/>
    <col min="15115" max="15115" width="2.6640625" style="2" customWidth="1"/>
    <col min="15116" max="15116" width="12.6640625" style="2" customWidth="1"/>
    <col min="15117" max="15117" width="11.44140625" style="2"/>
    <col min="15118" max="15118" width="2.6640625" style="2" customWidth="1"/>
    <col min="15119" max="15119" width="12.6640625" style="2" customWidth="1"/>
    <col min="15120" max="15120" width="11.44140625" style="2"/>
    <col min="15121" max="15121" width="2.6640625" style="2" customWidth="1"/>
    <col min="15122" max="15122" width="12.6640625" style="2" customWidth="1"/>
    <col min="15123" max="15123" width="11.44140625" style="2"/>
    <col min="15124" max="15124" width="2.6640625" style="2" customWidth="1"/>
    <col min="15125" max="15125" width="12.6640625" style="2" customWidth="1"/>
    <col min="15126" max="15126" width="11.44140625" style="2" customWidth="1"/>
    <col min="15127" max="15127" width="2.6640625" style="2" customWidth="1"/>
    <col min="15128" max="15128" width="12.6640625" style="2" customWidth="1"/>
    <col min="15129" max="15129" width="11.44140625" style="2"/>
    <col min="15130" max="15130" width="2.6640625" style="2" customWidth="1"/>
    <col min="15131" max="15131" width="12.6640625" style="2" customWidth="1"/>
    <col min="15132" max="15132" width="11.44140625" style="2" customWidth="1"/>
    <col min="15133" max="15133" width="2.6640625" style="2" customWidth="1"/>
    <col min="15134" max="15134" width="12.6640625" style="2" customWidth="1"/>
    <col min="15135" max="15135" width="11.44140625" style="2" customWidth="1"/>
    <col min="15136" max="15136" width="2.6640625" style="2" customWidth="1"/>
    <col min="15137" max="15137" width="12.6640625" style="2" customWidth="1"/>
    <col min="15138" max="15138" width="11.44140625" style="2" customWidth="1"/>
    <col min="15139" max="15139" width="2.6640625" style="2" customWidth="1"/>
    <col min="15140" max="15140" width="12.6640625" style="2" customWidth="1"/>
    <col min="15141" max="15141" width="11.44140625" style="2" customWidth="1"/>
    <col min="15142" max="15142" width="2.6640625" style="2" customWidth="1"/>
    <col min="15143" max="15143" width="12.6640625" style="2" customWidth="1"/>
    <col min="15144" max="15144" width="11.44140625" style="2"/>
    <col min="15145" max="15145" width="2.6640625" style="2" customWidth="1"/>
    <col min="15146" max="15146" width="12.6640625" style="2" customWidth="1"/>
    <col min="15147" max="15147" width="11.44140625" style="2"/>
    <col min="15148" max="15148" width="2.6640625" style="2" customWidth="1"/>
    <col min="15149" max="15149" width="12.6640625" style="2" customWidth="1"/>
    <col min="15150" max="15369" width="11.44140625" style="2"/>
    <col min="15370" max="15370" width="53.109375" style="2" customWidth="1"/>
    <col min="15371" max="15371" width="2.6640625" style="2" customWidth="1"/>
    <col min="15372" max="15372" width="12.6640625" style="2" customWidth="1"/>
    <col min="15373" max="15373" width="11.44140625" style="2"/>
    <col min="15374" max="15374" width="2.6640625" style="2" customWidth="1"/>
    <col min="15375" max="15375" width="12.6640625" style="2" customWidth="1"/>
    <col min="15376" max="15376" width="11.44140625" style="2"/>
    <col min="15377" max="15377" width="2.6640625" style="2" customWidth="1"/>
    <col min="15378" max="15378" width="12.6640625" style="2" customWidth="1"/>
    <col min="15379" max="15379" width="11.44140625" style="2"/>
    <col min="15380" max="15380" width="2.6640625" style="2" customWidth="1"/>
    <col min="15381" max="15381" width="12.6640625" style="2" customWidth="1"/>
    <col min="15382" max="15382" width="11.44140625" style="2" customWidth="1"/>
    <col min="15383" max="15383" width="2.6640625" style="2" customWidth="1"/>
    <col min="15384" max="15384" width="12.6640625" style="2" customWidth="1"/>
    <col min="15385" max="15385" width="11.44140625" style="2"/>
    <col min="15386" max="15386" width="2.6640625" style="2" customWidth="1"/>
    <col min="15387" max="15387" width="12.6640625" style="2" customWidth="1"/>
    <col min="15388" max="15388" width="11.44140625" style="2" customWidth="1"/>
    <col min="15389" max="15389" width="2.6640625" style="2" customWidth="1"/>
    <col min="15390" max="15390" width="12.6640625" style="2" customWidth="1"/>
    <col min="15391" max="15391" width="11.44140625" style="2" customWidth="1"/>
    <col min="15392" max="15392" width="2.6640625" style="2" customWidth="1"/>
    <col min="15393" max="15393" width="12.6640625" style="2" customWidth="1"/>
    <col min="15394" max="15394" width="11.44140625" style="2" customWidth="1"/>
    <col min="15395" max="15395" width="2.6640625" style="2" customWidth="1"/>
    <col min="15396" max="15396" width="12.6640625" style="2" customWidth="1"/>
    <col min="15397" max="15397" width="11.44140625" style="2" customWidth="1"/>
    <col min="15398" max="15398" width="2.6640625" style="2" customWidth="1"/>
    <col min="15399" max="15399" width="12.6640625" style="2" customWidth="1"/>
    <col min="15400" max="15400" width="11.44140625" style="2"/>
    <col min="15401" max="15401" width="2.6640625" style="2" customWidth="1"/>
    <col min="15402" max="15402" width="12.6640625" style="2" customWidth="1"/>
    <col min="15403" max="15403" width="11.44140625" style="2"/>
    <col min="15404" max="15404" width="2.6640625" style="2" customWidth="1"/>
    <col min="15405" max="15405" width="12.6640625" style="2" customWidth="1"/>
    <col min="15406" max="15625" width="11.44140625" style="2"/>
    <col min="15626" max="15626" width="53.109375" style="2" customWidth="1"/>
    <col min="15627" max="15627" width="2.6640625" style="2" customWidth="1"/>
    <col min="15628" max="15628" width="12.6640625" style="2" customWidth="1"/>
    <col min="15629" max="15629" width="11.44140625" style="2"/>
    <col min="15630" max="15630" width="2.6640625" style="2" customWidth="1"/>
    <col min="15631" max="15631" width="12.6640625" style="2" customWidth="1"/>
    <col min="15632" max="15632" width="11.44140625" style="2"/>
    <col min="15633" max="15633" width="2.6640625" style="2" customWidth="1"/>
    <col min="15634" max="15634" width="12.6640625" style="2" customWidth="1"/>
    <col min="15635" max="15635" width="11.44140625" style="2"/>
    <col min="15636" max="15636" width="2.6640625" style="2" customWidth="1"/>
    <col min="15637" max="15637" width="12.6640625" style="2" customWidth="1"/>
    <col min="15638" max="15638" width="11.44140625" style="2" customWidth="1"/>
    <col min="15639" max="15639" width="2.6640625" style="2" customWidth="1"/>
    <col min="15640" max="15640" width="12.6640625" style="2" customWidth="1"/>
    <col min="15641" max="15641" width="11.44140625" style="2"/>
    <col min="15642" max="15642" width="2.6640625" style="2" customWidth="1"/>
    <col min="15643" max="15643" width="12.6640625" style="2" customWidth="1"/>
    <col min="15644" max="15644" width="11.44140625" style="2" customWidth="1"/>
    <col min="15645" max="15645" width="2.6640625" style="2" customWidth="1"/>
    <col min="15646" max="15646" width="12.6640625" style="2" customWidth="1"/>
    <col min="15647" max="15647" width="11.44140625" style="2" customWidth="1"/>
    <col min="15648" max="15648" width="2.6640625" style="2" customWidth="1"/>
    <col min="15649" max="15649" width="12.6640625" style="2" customWidth="1"/>
    <col min="15650" max="15650" width="11.44140625" style="2" customWidth="1"/>
    <col min="15651" max="15651" width="2.6640625" style="2" customWidth="1"/>
    <col min="15652" max="15652" width="12.6640625" style="2" customWidth="1"/>
    <col min="15653" max="15653" width="11.44140625" style="2" customWidth="1"/>
    <col min="15654" max="15654" width="2.6640625" style="2" customWidth="1"/>
    <col min="15655" max="15655" width="12.6640625" style="2" customWidth="1"/>
    <col min="15656" max="15656" width="11.44140625" style="2"/>
    <col min="15657" max="15657" width="2.6640625" style="2" customWidth="1"/>
    <col min="15658" max="15658" width="12.6640625" style="2" customWidth="1"/>
    <col min="15659" max="15659" width="11.44140625" style="2"/>
    <col min="15660" max="15660" width="2.6640625" style="2" customWidth="1"/>
    <col min="15661" max="15661" width="12.6640625" style="2" customWidth="1"/>
    <col min="15662" max="15881" width="11.44140625" style="2"/>
    <col min="15882" max="15882" width="53.109375" style="2" customWidth="1"/>
    <col min="15883" max="15883" width="2.6640625" style="2" customWidth="1"/>
    <col min="15884" max="15884" width="12.6640625" style="2" customWidth="1"/>
    <col min="15885" max="15885" width="11.44140625" style="2"/>
    <col min="15886" max="15886" width="2.6640625" style="2" customWidth="1"/>
    <col min="15887" max="15887" width="12.6640625" style="2" customWidth="1"/>
    <col min="15888" max="15888" width="11.44140625" style="2"/>
    <col min="15889" max="15889" width="2.6640625" style="2" customWidth="1"/>
    <col min="15890" max="15890" width="12.6640625" style="2" customWidth="1"/>
    <col min="15891" max="15891" width="11.44140625" style="2"/>
    <col min="15892" max="15892" width="2.6640625" style="2" customWidth="1"/>
    <col min="15893" max="15893" width="12.6640625" style="2" customWidth="1"/>
    <col min="15894" max="15894" width="11.44140625" style="2" customWidth="1"/>
    <col min="15895" max="15895" width="2.6640625" style="2" customWidth="1"/>
    <col min="15896" max="15896" width="12.6640625" style="2" customWidth="1"/>
    <col min="15897" max="15897" width="11.44140625" style="2"/>
    <col min="15898" max="15898" width="2.6640625" style="2" customWidth="1"/>
    <col min="15899" max="15899" width="12.6640625" style="2" customWidth="1"/>
    <col min="15900" max="15900" width="11.44140625" style="2" customWidth="1"/>
    <col min="15901" max="15901" width="2.6640625" style="2" customWidth="1"/>
    <col min="15902" max="15902" width="12.6640625" style="2" customWidth="1"/>
    <col min="15903" max="15903" width="11.44140625" style="2" customWidth="1"/>
    <col min="15904" max="15904" width="2.6640625" style="2" customWidth="1"/>
    <col min="15905" max="15905" width="12.6640625" style="2" customWidth="1"/>
    <col min="15906" max="15906" width="11.44140625" style="2" customWidth="1"/>
    <col min="15907" max="15907" width="2.6640625" style="2" customWidth="1"/>
    <col min="15908" max="15908" width="12.6640625" style="2" customWidth="1"/>
    <col min="15909" max="15909" width="11.44140625" style="2" customWidth="1"/>
    <col min="15910" max="15910" width="2.6640625" style="2" customWidth="1"/>
    <col min="15911" max="15911" width="12.6640625" style="2" customWidth="1"/>
    <col min="15912" max="15912" width="11.44140625" style="2"/>
    <col min="15913" max="15913" width="2.6640625" style="2" customWidth="1"/>
    <col min="15914" max="15914" width="12.6640625" style="2" customWidth="1"/>
    <col min="15915" max="15915" width="11.44140625" style="2"/>
    <col min="15916" max="15916" width="2.6640625" style="2" customWidth="1"/>
    <col min="15917" max="15917" width="12.6640625" style="2" customWidth="1"/>
    <col min="15918" max="16137" width="11.44140625" style="2"/>
    <col min="16138" max="16138" width="53.109375" style="2" customWidth="1"/>
    <col min="16139" max="16139" width="2.6640625" style="2" customWidth="1"/>
    <col min="16140" max="16140" width="12.6640625" style="2" customWidth="1"/>
    <col min="16141" max="16141" width="11.44140625" style="2"/>
    <col min="16142" max="16142" width="2.6640625" style="2" customWidth="1"/>
    <col min="16143" max="16143" width="12.6640625" style="2" customWidth="1"/>
    <col min="16144" max="16144" width="11.44140625" style="2"/>
    <col min="16145" max="16145" width="2.6640625" style="2" customWidth="1"/>
    <col min="16146" max="16146" width="12.6640625" style="2" customWidth="1"/>
    <col min="16147" max="16147" width="11.44140625" style="2"/>
    <col min="16148" max="16148" width="2.6640625" style="2" customWidth="1"/>
    <col min="16149" max="16149" width="12.6640625" style="2" customWidth="1"/>
    <col min="16150" max="16150" width="11.44140625" style="2" customWidth="1"/>
    <col min="16151" max="16151" width="2.6640625" style="2" customWidth="1"/>
    <col min="16152" max="16152" width="12.6640625" style="2" customWidth="1"/>
    <col min="16153" max="16153" width="11.44140625" style="2"/>
    <col min="16154" max="16154" width="2.6640625" style="2" customWidth="1"/>
    <col min="16155" max="16155" width="12.6640625" style="2" customWidth="1"/>
    <col min="16156" max="16156" width="11.44140625" style="2" customWidth="1"/>
    <col min="16157" max="16157" width="2.6640625" style="2" customWidth="1"/>
    <col min="16158" max="16158" width="12.6640625" style="2" customWidth="1"/>
    <col min="16159" max="16159" width="11.44140625" style="2" customWidth="1"/>
    <col min="16160" max="16160" width="2.6640625" style="2" customWidth="1"/>
    <col min="16161" max="16161" width="12.6640625" style="2" customWidth="1"/>
    <col min="16162" max="16162" width="11.44140625" style="2" customWidth="1"/>
    <col min="16163" max="16163" width="2.6640625" style="2" customWidth="1"/>
    <col min="16164" max="16164" width="12.6640625" style="2" customWidth="1"/>
    <col min="16165" max="16165" width="11.44140625" style="2" customWidth="1"/>
    <col min="16166" max="16166" width="2.6640625" style="2" customWidth="1"/>
    <col min="16167" max="16167" width="12.6640625" style="2" customWidth="1"/>
    <col min="16168" max="16168" width="11.44140625" style="2"/>
    <col min="16169" max="16169" width="2.6640625" style="2" customWidth="1"/>
    <col min="16170" max="16170" width="12.6640625" style="2" customWidth="1"/>
    <col min="16171" max="16171" width="11.44140625" style="2"/>
    <col min="16172" max="16172" width="2.6640625" style="2" customWidth="1"/>
    <col min="16173" max="16173" width="12.6640625" style="2" customWidth="1"/>
    <col min="16174" max="16384" width="11.44140625" style="2"/>
  </cols>
  <sheetData>
    <row r="1" spans="1:53" ht="24.6" hidden="1" x14ac:dyDescent="0.3">
      <c r="A1" s="202" t="s">
        <v>0</v>
      </c>
    </row>
    <row r="2" spans="1:53" ht="22.8" hidden="1" x14ac:dyDescent="0.4">
      <c r="A2" s="204" t="s">
        <v>216</v>
      </c>
    </row>
    <row r="3" spans="1:53" ht="17.399999999999999" hidden="1" x14ac:dyDescent="0.3">
      <c r="A3" s="205" t="s">
        <v>292</v>
      </c>
    </row>
    <row r="4" spans="1:53" s="206" customFormat="1" ht="18" hidden="1" customHeight="1" x14ac:dyDescent="0.25">
      <c r="A4" s="439"/>
      <c r="B4" s="751">
        <v>1</v>
      </c>
      <c r="C4" s="751"/>
      <c r="D4" s="751"/>
      <c r="E4" s="751">
        <v>2</v>
      </c>
      <c r="F4" s="751"/>
      <c r="G4" s="751"/>
      <c r="H4" s="751">
        <v>15</v>
      </c>
      <c r="I4" s="751"/>
      <c r="J4" s="751"/>
      <c r="K4" s="751">
        <v>3</v>
      </c>
      <c r="L4" s="751"/>
      <c r="M4" s="751"/>
      <c r="N4" s="751">
        <v>16</v>
      </c>
      <c r="O4" s="751"/>
      <c r="P4" s="751"/>
      <c r="Q4" s="751">
        <v>4</v>
      </c>
      <c r="R4" s="751"/>
      <c r="S4" s="751"/>
      <c r="T4" s="751">
        <v>6</v>
      </c>
      <c r="U4" s="751"/>
      <c r="V4" s="751"/>
      <c r="W4" s="751">
        <v>7</v>
      </c>
      <c r="X4" s="751"/>
      <c r="Y4" s="751"/>
      <c r="Z4" s="751">
        <v>5</v>
      </c>
      <c r="AA4" s="751"/>
      <c r="AB4" s="751"/>
      <c r="AC4" s="751">
        <v>8</v>
      </c>
      <c r="AD4" s="751"/>
      <c r="AE4" s="751"/>
      <c r="AF4" s="751">
        <v>9</v>
      </c>
      <c r="AG4" s="751"/>
      <c r="AH4" s="751"/>
      <c r="AI4" s="751">
        <v>10</v>
      </c>
      <c r="AJ4" s="751"/>
      <c r="AK4" s="751"/>
      <c r="AL4" s="751">
        <v>11</v>
      </c>
      <c r="AM4" s="751"/>
      <c r="AN4" s="751"/>
      <c r="AO4" s="751">
        <v>12</v>
      </c>
      <c r="AP4" s="751"/>
      <c r="AQ4" s="751"/>
      <c r="AR4" s="751">
        <v>17</v>
      </c>
      <c r="AS4" s="751"/>
      <c r="AT4" s="751"/>
      <c r="AU4" s="751">
        <v>13</v>
      </c>
      <c r="AV4" s="751"/>
      <c r="AW4" s="751"/>
      <c r="AX4" s="751">
        <v>14</v>
      </c>
      <c r="AY4" s="751"/>
      <c r="AZ4" s="751"/>
      <c r="BA4" s="300"/>
    </row>
    <row r="5" spans="1:53" s="300" customFormat="1" ht="18" hidden="1" customHeight="1" x14ac:dyDescent="0.3">
      <c r="A5" s="439"/>
      <c r="B5" s="751"/>
      <c r="C5" s="751"/>
      <c r="D5" s="751"/>
      <c r="E5" s="751"/>
      <c r="F5" s="751"/>
      <c r="G5" s="751"/>
      <c r="H5" s="613"/>
      <c r="I5" s="613"/>
      <c r="J5" s="613"/>
      <c r="K5" s="751"/>
      <c r="L5" s="751"/>
      <c r="M5" s="751"/>
      <c r="N5" s="613"/>
      <c r="O5" s="613"/>
      <c r="P5" s="613"/>
      <c r="Q5" s="775"/>
      <c r="R5" s="775"/>
      <c r="S5" s="775"/>
      <c r="T5" s="751"/>
      <c r="U5" s="751"/>
      <c r="V5" s="751"/>
      <c r="W5" s="751"/>
      <c r="X5" s="751"/>
      <c r="Y5" s="751"/>
      <c r="Z5" s="751"/>
      <c r="AA5" s="751"/>
      <c r="AB5" s="751"/>
      <c r="AC5" s="751"/>
      <c r="AD5" s="751"/>
      <c r="AE5" s="751"/>
      <c r="AF5" s="751"/>
      <c r="AG5" s="751"/>
      <c r="AH5" s="751"/>
      <c r="AI5" s="751"/>
      <c r="AJ5" s="751"/>
      <c r="AK5" s="751"/>
      <c r="AL5" s="751"/>
      <c r="AM5" s="751"/>
      <c r="AN5" s="751"/>
      <c r="AO5" s="751"/>
      <c r="AP5" s="751"/>
      <c r="AQ5" s="751"/>
      <c r="AR5" s="613"/>
      <c r="AS5" s="613"/>
      <c r="AT5" s="613"/>
      <c r="AU5" s="751"/>
      <c r="AV5" s="751"/>
      <c r="AW5" s="751"/>
      <c r="AX5" s="751"/>
      <c r="AY5" s="751"/>
      <c r="AZ5" s="751"/>
    </row>
    <row r="6" spans="1:53" s="208" customFormat="1" ht="15.6" hidden="1" x14ac:dyDescent="0.3">
      <c r="A6" s="207"/>
      <c r="B6" s="763" t="s">
        <v>2</v>
      </c>
      <c r="C6" s="763"/>
      <c r="D6" s="763"/>
      <c r="E6" s="764" t="s">
        <v>3</v>
      </c>
      <c r="F6" s="764"/>
      <c r="G6" s="764"/>
      <c r="H6" s="770" t="s">
        <v>388</v>
      </c>
      <c r="I6" s="770"/>
      <c r="J6" s="770"/>
      <c r="K6" s="765" t="s">
        <v>4</v>
      </c>
      <c r="L6" s="765"/>
      <c r="M6" s="765"/>
      <c r="N6" s="774" t="s">
        <v>389</v>
      </c>
      <c r="O6" s="774"/>
      <c r="P6" s="774"/>
      <c r="Q6" s="766" t="s">
        <v>5</v>
      </c>
      <c r="R6" s="766"/>
      <c r="S6" s="766"/>
      <c r="T6" s="767" t="s">
        <v>6</v>
      </c>
      <c r="U6" s="767"/>
      <c r="V6" s="767"/>
      <c r="W6" s="768" t="s">
        <v>7</v>
      </c>
      <c r="X6" s="768"/>
      <c r="Y6" s="768"/>
      <c r="Z6" s="769" t="s">
        <v>8</v>
      </c>
      <c r="AA6" s="769"/>
      <c r="AB6" s="769"/>
      <c r="AC6" s="776" t="s">
        <v>9</v>
      </c>
      <c r="AD6" s="776"/>
      <c r="AE6" s="776"/>
      <c r="AF6" s="777" t="s">
        <v>10</v>
      </c>
      <c r="AG6" s="777"/>
      <c r="AH6" s="777"/>
      <c r="AI6" s="778" t="s">
        <v>11</v>
      </c>
      <c r="AJ6" s="778"/>
      <c r="AK6" s="778"/>
      <c r="AL6" s="744" t="s">
        <v>12</v>
      </c>
      <c r="AM6" s="744"/>
      <c r="AN6" s="744"/>
      <c r="AO6" s="744" t="s">
        <v>13</v>
      </c>
      <c r="AP6" s="744"/>
      <c r="AQ6" s="744"/>
      <c r="AR6" s="754" t="s">
        <v>398</v>
      </c>
      <c r="AS6" s="754"/>
      <c r="AT6" s="754"/>
      <c r="AU6" s="752" t="s">
        <v>293</v>
      </c>
      <c r="AV6" s="752"/>
      <c r="AW6" s="752"/>
      <c r="AX6" s="753" t="s">
        <v>294</v>
      </c>
      <c r="AY6" s="753"/>
      <c r="AZ6" s="753"/>
    </row>
    <row r="7" spans="1:53" hidden="1" x14ac:dyDescent="0.3">
      <c r="B7" s="748" t="s">
        <v>168</v>
      </c>
      <c r="C7" s="749"/>
      <c r="D7" s="750"/>
      <c r="E7" s="748" t="s">
        <v>168</v>
      </c>
      <c r="F7" s="749"/>
      <c r="G7" s="750"/>
      <c r="H7" s="748" t="s">
        <v>168</v>
      </c>
      <c r="I7" s="749"/>
      <c r="J7" s="750"/>
      <c r="K7" s="748" t="s">
        <v>168</v>
      </c>
      <c r="L7" s="749"/>
      <c r="M7" s="750"/>
      <c r="N7" s="748" t="s">
        <v>168</v>
      </c>
      <c r="O7" s="749"/>
      <c r="P7" s="750"/>
      <c r="Q7" s="771" t="s">
        <v>168</v>
      </c>
      <c r="R7" s="772"/>
      <c r="S7" s="773"/>
      <c r="T7" s="748" t="s">
        <v>168</v>
      </c>
      <c r="U7" s="749"/>
      <c r="V7" s="750"/>
      <c r="W7" s="748" t="s">
        <v>168</v>
      </c>
      <c r="X7" s="749"/>
      <c r="Y7" s="750"/>
      <c r="Z7" s="748" t="s">
        <v>168</v>
      </c>
      <c r="AA7" s="749"/>
      <c r="AB7" s="750"/>
      <c r="AC7" s="748" t="s">
        <v>168</v>
      </c>
      <c r="AD7" s="749"/>
      <c r="AE7" s="750"/>
      <c r="AF7" s="748" t="s">
        <v>170</v>
      </c>
      <c r="AG7" s="749"/>
      <c r="AH7" s="750"/>
      <c r="AI7" s="748" t="s">
        <v>171</v>
      </c>
      <c r="AJ7" s="749"/>
      <c r="AK7" s="750"/>
      <c r="AL7" s="748" t="s">
        <v>172</v>
      </c>
      <c r="AM7" s="749"/>
      <c r="AN7" s="750"/>
      <c r="AO7" s="748" t="s">
        <v>172</v>
      </c>
      <c r="AP7" s="749"/>
      <c r="AQ7" s="750"/>
      <c r="AR7" s="748" t="s">
        <v>172</v>
      </c>
      <c r="AS7" s="749"/>
      <c r="AT7" s="750"/>
      <c r="AU7" s="748" t="s">
        <v>295</v>
      </c>
      <c r="AV7" s="749"/>
      <c r="AW7" s="750"/>
      <c r="AX7" s="748" t="s">
        <v>295</v>
      </c>
      <c r="AY7" s="749"/>
      <c r="AZ7" s="750"/>
    </row>
    <row r="8" spans="1:53" hidden="1" x14ac:dyDescent="0.3">
      <c r="B8" s="745" t="s">
        <v>173</v>
      </c>
      <c r="C8" s="746"/>
      <c r="D8" s="747"/>
      <c r="E8" s="745" t="s">
        <v>166</v>
      </c>
      <c r="F8" s="746"/>
      <c r="G8" s="747"/>
      <c r="H8" s="745" t="s">
        <v>372</v>
      </c>
      <c r="I8" s="746"/>
      <c r="J8" s="747"/>
      <c r="K8" s="745" t="s">
        <v>167</v>
      </c>
      <c r="L8" s="746"/>
      <c r="M8" s="747"/>
      <c r="N8" s="745" t="s">
        <v>373</v>
      </c>
      <c r="O8" s="746"/>
      <c r="P8" s="747"/>
      <c r="Q8" s="760" t="s">
        <v>169</v>
      </c>
      <c r="R8" s="761"/>
      <c r="S8" s="762"/>
      <c r="T8" s="759" t="s">
        <v>174</v>
      </c>
      <c r="U8" s="746"/>
      <c r="V8" s="747"/>
      <c r="W8" s="759" t="s">
        <v>97</v>
      </c>
      <c r="X8" s="746"/>
      <c r="Y8" s="747"/>
      <c r="Z8" s="759" t="s">
        <v>99</v>
      </c>
      <c r="AA8" s="746"/>
      <c r="AB8" s="747"/>
      <c r="AC8" s="759" t="s">
        <v>175</v>
      </c>
      <c r="AD8" s="746"/>
      <c r="AE8" s="747"/>
      <c r="AF8" s="745"/>
      <c r="AG8" s="746"/>
      <c r="AH8" s="747"/>
      <c r="AI8" s="759" t="s">
        <v>176</v>
      </c>
      <c r="AJ8" s="746"/>
      <c r="AK8" s="747"/>
      <c r="AL8" s="745" t="s">
        <v>177</v>
      </c>
      <c r="AM8" s="746"/>
      <c r="AN8" s="747"/>
      <c r="AO8" s="745" t="s">
        <v>178</v>
      </c>
      <c r="AP8" s="746"/>
      <c r="AQ8" s="747"/>
      <c r="AR8" s="745" t="s">
        <v>374</v>
      </c>
      <c r="AS8" s="746"/>
      <c r="AT8" s="747"/>
      <c r="AU8" s="755" t="s">
        <v>296</v>
      </c>
      <c r="AV8" s="756"/>
      <c r="AW8" s="757"/>
      <c r="AX8" s="758" t="s">
        <v>297</v>
      </c>
      <c r="AY8" s="756"/>
      <c r="AZ8" s="757"/>
    </row>
    <row r="9" spans="1:53" hidden="1" x14ac:dyDescent="0.3">
      <c r="B9" s="735" t="s">
        <v>14</v>
      </c>
      <c r="C9" s="736"/>
      <c r="D9" s="737"/>
      <c r="E9" s="735" t="s">
        <v>14</v>
      </c>
      <c r="F9" s="736"/>
      <c r="G9" s="737"/>
      <c r="H9" s="735" t="s">
        <v>14</v>
      </c>
      <c r="I9" s="736"/>
      <c r="J9" s="737"/>
      <c r="K9" s="735" t="s">
        <v>15</v>
      </c>
      <c r="L9" s="736"/>
      <c r="M9" s="737"/>
      <c r="N9" s="735" t="s">
        <v>15</v>
      </c>
      <c r="O9" s="736"/>
      <c r="P9" s="737"/>
      <c r="Q9" s="738" t="s">
        <v>15</v>
      </c>
      <c r="R9" s="739"/>
      <c r="S9" s="740"/>
      <c r="T9" s="735"/>
      <c r="U9" s="736"/>
      <c r="V9" s="737"/>
      <c r="W9" s="735"/>
      <c r="X9" s="736"/>
      <c r="Y9" s="737"/>
      <c r="Z9" s="741" t="s">
        <v>16</v>
      </c>
      <c r="AA9" s="742"/>
      <c r="AB9" s="743"/>
      <c r="AC9" s="735" t="s">
        <v>17</v>
      </c>
      <c r="AD9" s="736"/>
      <c r="AE9" s="737"/>
      <c r="AF9" s="735" t="s">
        <v>18</v>
      </c>
      <c r="AG9" s="736"/>
      <c r="AH9" s="737"/>
      <c r="AI9" s="735"/>
      <c r="AJ9" s="736"/>
      <c r="AK9" s="737"/>
      <c r="AL9" s="735" t="s">
        <v>179</v>
      </c>
      <c r="AM9" s="736"/>
      <c r="AN9" s="737"/>
      <c r="AO9" s="735" t="s">
        <v>180</v>
      </c>
      <c r="AP9" s="736"/>
      <c r="AQ9" s="737"/>
      <c r="AR9" s="735" t="s">
        <v>180</v>
      </c>
      <c r="AS9" s="736"/>
      <c r="AT9" s="737"/>
      <c r="AU9" s="735" t="s">
        <v>298</v>
      </c>
      <c r="AV9" s="736"/>
      <c r="AW9" s="737"/>
      <c r="AX9" s="735" t="s">
        <v>298</v>
      </c>
      <c r="AY9" s="736"/>
      <c r="AZ9" s="737"/>
    </row>
    <row r="10" spans="1:53" hidden="1" x14ac:dyDescent="0.3">
      <c r="A10" s="12"/>
      <c r="B10" s="729" t="s">
        <v>399</v>
      </c>
      <c r="C10" s="730"/>
      <c r="D10" s="731"/>
      <c r="E10" s="729" t="s">
        <v>399</v>
      </c>
      <c r="F10" s="730"/>
      <c r="G10" s="731"/>
      <c r="H10" s="729" t="s">
        <v>399</v>
      </c>
      <c r="I10" s="730"/>
      <c r="J10" s="731"/>
      <c r="K10" s="729" t="s">
        <v>400</v>
      </c>
      <c r="L10" s="730"/>
      <c r="M10" s="731"/>
      <c r="N10" s="729" t="s">
        <v>401</v>
      </c>
      <c r="O10" s="730"/>
      <c r="P10" s="731"/>
      <c r="Q10" s="729" t="s">
        <v>306</v>
      </c>
      <c r="R10" s="730"/>
      <c r="S10" s="731"/>
      <c r="T10" s="729" t="s">
        <v>306</v>
      </c>
      <c r="U10" s="730"/>
      <c r="V10" s="731"/>
      <c r="W10" s="729" t="s">
        <v>399</v>
      </c>
      <c r="X10" s="730"/>
      <c r="Y10" s="731"/>
      <c r="Z10" s="729" t="s">
        <v>306</v>
      </c>
      <c r="AA10" s="730"/>
      <c r="AB10" s="731"/>
      <c r="AC10" s="729" t="s">
        <v>306</v>
      </c>
      <c r="AD10" s="730"/>
      <c r="AE10" s="731"/>
      <c r="AF10" s="729" t="s">
        <v>306</v>
      </c>
      <c r="AG10" s="730"/>
      <c r="AH10" s="731"/>
      <c r="AI10" s="729" t="s">
        <v>401</v>
      </c>
      <c r="AJ10" s="730"/>
      <c r="AK10" s="731"/>
      <c r="AL10" s="729" t="s">
        <v>306</v>
      </c>
      <c r="AM10" s="730"/>
      <c r="AN10" s="731"/>
      <c r="AO10" s="729" t="s">
        <v>306</v>
      </c>
      <c r="AP10" s="730"/>
      <c r="AQ10" s="731"/>
      <c r="AR10" s="729" t="s">
        <v>402</v>
      </c>
      <c r="AS10" s="730"/>
      <c r="AT10" s="731"/>
      <c r="AU10" s="729" t="s">
        <v>403</v>
      </c>
      <c r="AV10" s="730"/>
      <c r="AW10" s="731"/>
      <c r="AX10" s="729" t="s">
        <v>403</v>
      </c>
      <c r="AY10" s="730"/>
      <c r="AZ10" s="731"/>
    </row>
    <row r="11" spans="1:53" ht="15.6" hidden="1" x14ac:dyDescent="0.3">
      <c r="A11" s="19" t="s">
        <v>19</v>
      </c>
      <c r="B11" s="213"/>
      <c r="D11" s="22"/>
      <c r="E11" s="213"/>
      <c r="G11" s="22"/>
      <c r="K11" s="213"/>
      <c r="M11" s="22"/>
      <c r="Q11" s="492"/>
      <c r="R11" s="28"/>
      <c r="S11" s="80"/>
      <c r="T11" s="213"/>
      <c r="V11" s="22"/>
      <c r="W11" s="213"/>
      <c r="X11" s="36"/>
      <c r="Y11" s="214"/>
      <c r="Z11" s="213"/>
      <c r="AA11" s="36"/>
      <c r="AB11" s="214"/>
      <c r="AC11" s="213"/>
      <c r="AE11" s="22"/>
      <c r="AF11" s="213"/>
      <c r="AH11" s="22"/>
      <c r="AI11" s="213"/>
      <c r="AK11" s="22"/>
      <c r="AL11" s="213"/>
      <c r="AN11" s="22"/>
      <c r="AO11" s="213"/>
      <c r="AQ11" s="22"/>
      <c r="AU11" s="213"/>
      <c r="AW11" s="22"/>
      <c r="AX11" s="213"/>
      <c r="AZ11" s="22"/>
    </row>
    <row r="12" spans="1:53" hidden="1" x14ac:dyDescent="0.3">
      <c r="A12" s="23"/>
      <c r="B12" s="23"/>
      <c r="C12" s="274"/>
      <c r="D12" s="275"/>
      <c r="E12" s="276"/>
      <c r="F12" s="274"/>
      <c r="G12" s="275"/>
      <c r="H12" s="274"/>
      <c r="I12" s="274"/>
      <c r="J12" s="274"/>
      <c r="K12" s="276"/>
      <c r="L12" s="274"/>
      <c r="M12" s="275"/>
      <c r="N12" s="274"/>
      <c r="O12" s="274"/>
      <c r="P12" s="274"/>
      <c r="Q12" s="493"/>
      <c r="R12" s="494"/>
      <c r="S12" s="495"/>
      <c r="T12" s="276"/>
      <c r="U12" s="274"/>
      <c r="V12" s="275"/>
      <c r="W12" s="215"/>
      <c r="X12" s="216"/>
      <c r="Y12" s="217"/>
      <c r="Z12" s="215"/>
      <c r="AA12" s="216"/>
      <c r="AB12" s="217"/>
      <c r="AC12" s="276"/>
      <c r="AD12" s="274"/>
      <c r="AE12" s="275"/>
      <c r="AF12" s="276"/>
      <c r="AG12" s="274"/>
      <c r="AH12" s="275"/>
      <c r="AI12" s="276"/>
      <c r="AJ12" s="274"/>
      <c r="AK12" s="275"/>
      <c r="AL12" s="276"/>
      <c r="AM12" s="274"/>
      <c r="AN12" s="275"/>
      <c r="AO12" s="276"/>
      <c r="AP12" s="274"/>
      <c r="AQ12" s="275"/>
      <c r="AR12" s="274"/>
      <c r="AS12" s="274"/>
      <c r="AT12" s="274"/>
      <c r="AU12" s="276"/>
      <c r="AV12" s="274"/>
      <c r="AW12" s="275"/>
      <c r="AX12" s="276"/>
      <c r="AY12" s="274"/>
      <c r="AZ12" s="275"/>
    </row>
    <row r="13" spans="1:53" hidden="1" x14ac:dyDescent="0.3">
      <c r="A13" s="26" t="s">
        <v>20</v>
      </c>
      <c r="B13" s="26"/>
      <c r="C13" s="172"/>
      <c r="D13" s="277"/>
      <c r="E13" s="278"/>
      <c r="F13" s="172"/>
      <c r="G13" s="277"/>
      <c r="H13" s="172"/>
      <c r="I13" s="172"/>
      <c r="J13" s="172"/>
      <c r="K13" s="278"/>
      <c r="L13" s="172"/>
      <c r="M13" s="277"/>
      <c r="N13" s="172"/>
      <c r="O13" s="172"/>
      <c r="P13" s="172"/>
      <c r="Q13" s="496"/>
      <c r="R13" s="497"/>
      <c r="S13" s="498"/>
      <c r="T13" s="278"/>
      <c r="U13" s="172"/>
      <c r="V13" s="277"/>
      <c r="W13" s="39"/>
      <c r="X13" s="36"/>
      <c r="Y13" s="214"/>
      <c r="Z13" s="39"/>
      <c r="AA13" s="36"/>
      <c r="AB13" s="214"/>
      <c r="AC13" s="278"/>
      <c r="AD13" s="172"/>
      <c r="AE13" s="277"/>
      <c r="AF13" s="278"/>
      <c r="AG13" s="172"/>
      <c r="AH13" s="277"/>
      <c r="AI13" s="278"/>
      <c r="AJ13" s="172"/>
      <c r="AK13" s="277"/>
      <c r="AL13" s="278"/>
      <c r="AM13" s="172"/>
      <c r="AN13" s="277"/>
      <c r="AO13" s="278"/>
      <c r="AP13" s="172"/>
      <c r="AQ13" s="277"/>
      <c r="AR13" s="172"/>
      <c r="AS13" s="172"/>
      <c r="AT13" s="172"/>
      <c r="AU13" s="278"/>
      <c r="AV13" s="172"/>
      <c r="AW13" s="277"/>
      <c r="AX13" s="278"/>
      <c r="AY13" s="172"/>
      <c r="AZ13" s="277"/>
    </row>
    <row r="14" spans="1:53" hidden="1" x14ac:dyDescent="0.3">
      <c r="A14" s="26" t="s">
        <v>21</v>
      </c>
      <c r="B14" s="219"/>
      <c r="C14" s="222" t="s">
        <v>258</v>
      </c>
      <c r="D14" s="220" t="s">
        <v>22</v>
      </c>
      <c r="E14" s="219"/>
      <c r="F14" s="222" t="s">
        <v>258</v>
      </c>
      <c r="G14" s="220" t="s">
        <v>22</v>
      </c>
      <c r="H14" s="303"/>
      <c r="I14" s="625" t="s">
        <v>258</v>
      </c>
      <c r="J14" s="303" t="s">
        <v>22</v>
      </c>
      <c r="K14" s="219"/>
      <c r="L14" s="222" t="s">
        <v>258</v>
      </c>
      <c r="M14" s="220" t="s">
        <v>22</v>
      </c>
      <c r="N14" s="303"/>
      <c r="O14" s="625" t="s">
        <v>258</v>
      </c>
      <c r="P14" s="220" t="s">
        <v>22</v>
      </c>
      <c r="Q14" s="219"/>
      <c r="R14" s="222" t="s">
        <v>258</v>
      </c>
      <c r="S14" s="220" t="s">
        <v>22</v>
      </c>
      <c r="T14" s="219"/>
      <c r="U14" s="222" t="s">
        <v>259</v>
      </c>
      <c r="V14" s="220" t="s">
        <v>22</v>
      </c>
      <c r="W14" s="219"/>
      <c r="X14" s="625" t="s">
        <v>326</v>
      </c>
      <c r="Y14" s="220" t="s">
        <v>22</v>
      </c>
      <c r="Z14" s="219"/>
      <c r="AA14" s="222" t="s">
        <v>31</v>
      </c>
      <c r="AB14" s="220" t="s">
        <v>22</v>
      </c>
      <c r="AC14" s="219"/>
      <c r="AD14" s="222" t="s">
        <v>31</v>
      </c>
      <c r="AE14" s="220" t="s">
        <v>22</v>
      </c>
      <c r="AF14" s="219"/>
      <c r="AG14" s="222" t="s">
        <v>260</v>
      </c>
      <c r="AH14" s="220" t="s">
        <v>22</v>
      </c>
      <c r="AI14" s="219"/>
      <c r="AJ14" s="625" t="s">
        <v>38</v>
      </c>
      <c r="AK14" s="220" t="s">
        <v>22</v>
      </c>
      <c r="AL14" s="219"/>
      <c r="AM14" s="222" t="s">
        <v>329</v>
      </c>
      <c r="AN14" s="220" t="s">
        <v>22</v>
      </c>
      <c r="AO14" s="219"/>
      <c r="AP14" s="222" t="s">
        <v>332</v>
      </c>
      <c r="AQ14" s="220" t="s">
        <v>22</v>
      </c>
      <c r="AR14" s="303"/>
      <c r="AS14" s="625" t="s">
        <v>263</v>
      </c>
      <c r="AT14" s="220" t="s">
        <v>22</v>
      </c>
      <c r="AU14" s="219"/>
      <c r="AV14" s="222" t="s">
        <v>299</v>
      </c>
      <c r="AW14" s="220" t="s">
        <v>22</v>
      </c>
      <c r="AX14" s="219"/>
      <c r="AY14" s="222">
        <v>0</v>
      </c>
      <c r="AZ14" s="220" t="s">
        <v>22</v>
      </c>
    </row>
    <row r="15" spans="1:53" hidden="1" x14ac:dyDescent="0.3">
      <c r="A15" s="26" t="s">
        <v>23</v>
      </c>
      <c r="B15" s="218"/>
      <c r="C15" s="221" t="s">
        <v>329</v>
      </c>
      <c r="D15" s="119" t="s">
        <v>22</v>
      </c>
      <c r="E15" s="219"/>
      <c r="F15" s="221" t="s">
        <v>264</v>
      </c>
      <c r="G15" s="119" t="s">
        <v>22</v>
      </c>
      <c r="H15" s="606"/>
      <c r="I15" s="635" t="s">
        <v>273</v>
      </c>
      <c r="J15" s="606" t="s">
        <v>22</v>
      </c>
      <c r="K15" s="219"/>
      <c r="L15" s="221" t="s">
        <v>24</v>
      </c>
      <c r="M15" s="119" t="s">
        <v>22</v>
      </c>
      <c r="N15" s="606"/>
      <c r="O15" s="635" t="s">
        <v>24</v>
      </c>
      <c r="P15" s="119" t="s">
        <v>22</v>
      </c>
      <c r="Q15" s="499"/>
      <c r="R15" s="221" t="s">
        <v>24</v>
      </c>
      <c r="S15" s="119" t="s">
        <v>22</v>
      </c>
      <c r="T15" s="219"/>
      <c r="U15" s="221" t="s">
        <v>24</v>
      </c>
      <c r="V15" s="119" t="s">
        <v>22</v>
      </c>
      <c r="W15" s="219"/>
      <c r="X15" s="635" t="s">
        <v>329</v>
      </c>
      <c r="Y15" s="119" t="s">
        <v>22</v>
      </c>
      <c r="Z15" s="219"/>
      <c r="AA15" s="221" t="s">
        <v>24</v>
      </c>
      <c r="AB15" s="119" t="s">
        <v>22</v>
      </c>
      <c r="AC15" s="219"/>
      <c r="AD15" s="221" t="s">
        <v>24</v>
      </c>
      <c r="AE15" s="119" t="s">
        <v>22</v>
      </c>
      <c r="AF15" s="219"/>
      <c r="AG15" s="221" t="s">
        <v>25</v>
      </c>
      <c r="AH15" s="119" t="s">
        <v>22</v>
      </c>
      <c r="AI15" s="219"/>
      <c r="AJ15" s="221" t="s">
        <v>25</v>
      </c>
      <c r="AK15" s="119" t="s">
        <v>22</v>
      </c>
      <c r="AL15" s="219"/>
      <c r="AM15" s="221" t="s">
        <v>25</v>
      </c>
      <c r="AN15" s="119" t="s">
        <v>22</v>
      </c>
      <c r="AO15" s="219"/>
      <c r="AP15" s="221" t="s">
        <v>25</v>
      </c>
      <c r="AQ15" s="119" t="s">
        <v>22</v>
      </c>
      <c r="AR15" s="606"/>
      <c r="AS15" s="635" t="s">
        <v>25</v>
      </c>
      <c r="AT15" s="119" t="s">
        <v>22</v>
      </c>
      <c r="AU15" s="219"/>
      <c r="AV15" s="221" t="s">
        <v>25</v>
      </c>
      <c r="AW15" s="119" t="s">
        <v>22</v>
      </c>
      <c r="AX15" s="219"/>
      <c r="AY15" s="221" t="s">
        <v>25</v>
      </c>
      <c r="AZ15" s="119" t="s">
        <v>22</v>
      </c>
    </row>
    <row r="16" spans="1:53" hidden="1" x14ac:dyDescent="0.3">
      <c r="A16" s="26" t="s">
        <v>26</v>
      </c>
      <c r="B16" s="218"/>
      <c r="C16" s="222" t="s">
        <v>261</v>
      </c>
      <c r="D16" s="220" t="s">
        <v>27</v>
      </c>
      <c r="E16" s="219"/>
      <c r="F16" s="625" t="s">
        <v>378</v>
      </c>
      <c r="G16" s="220" t="s">
        <v>27</v>
      </c>
      <c r="H16" s="303"/>
      <c r="I16" s="625" t="s">
        <v>262</v>
      </c>
      <c r="J16" s="220" t="s">
        <v>27</v>
      </c>
      <c r="K16" s="219"/>
      <c r="L16" s="222" t="s">
        <v>28</v>
      </c>
      <c r="M16" s="220" t="s">
        <v>27</v>
      </c>
      <c r="N16" s="303"/>
      <c r="O16" s="625" t="s">
        <v>383</v>
      </c>
      <c r="P16" s="220" t="s">
        <v>27</v>
      </c>
      <c r="Q16" s="499"/>
      <c r="R16" s="221" t="s">
        <v>28</v>
      </c>
      <c r="S16" s="119" t="s">
        <v>27</v>
      </c>
      <c r="T16" s="219"/>
      <c r="U16" s="222" t="s">
        <v>25</v>
      </c>
      <c r="V16" s="220" t="s">
        <v>27</v>
      </c>
      <c r="W16" s="219"/>
      <c r="X16" s="222" t="s">
        <v>261</v>
      </c>
      <c r="Y16" s="220" t="s">
        <v>27</v>
      </c>
      <c r="Z16" s="219"/>
      <c r="AA16" s="222" t="s">
        <v>261</v>
      </c>
      <c r="AB16" s="220" t="s">
        <v>27</v>
      </c>
      <c r="AC16" s="219"/>
      <c r="AD16" s="222" t="s">
        <v>261</v>
      </c>
      <c r="AE16" s="220" t="s">
        <v>27</v>
      </c>
      <c r="AF16" s="219"/>
      <c r="AG16" s="222" t="s">
        <v>25</v>
      </c>
      <c r="AH16" s="220" t="s">
        <v>27</v>
      </c>
      <c r="AI16" s="219"/>
      <c r="AJ16" s="222" t="s">
        <v>25</v>
      </c>
      <c r="AK16" s="220" t="s">
        <v>27</v>
      </c>
      <c r="AL16" s="219"/>
      <c r="AM16" s="222" t="s">
        <v>25</v>
      </c>
      <c r="AN16" s="220" t="s">
        <v>27</v>
      </c>
      <c r="AO16" s="219"/>
      <c r="AP16" s="222" t="s">
        <v>25</v>
      </c>
      <c r="AQ16" s="220" t="s">
        <v>27</v>
      </c>
      <c r="AR16" s="303"/>
      <c r="AS16" s="625" t="s">
        <v>25</v>
      </c>
      <c r="AT16" s="220" t="s">
        <v>27</v>
      </c>
      <c r="AU16" s="219"/>
      <c r="AV16" s="222" t="s">
        <v>25</v>
      </c>
      <c r="AW16" s="220" t="s">
        <v>27</v>
      </c>
      <c r="AX16" s="219"/>
      <c r="AY16" s="222" t="s">
        <v>25</v>
      </c>
      <c r="AZ16" s="220" t="s">
        <v>27</v>
      </c>
    </row>
    <row r="17" spans="1:52" hidden="1" x14ac:dyDescent="0.3">
      <c r="A17" s="39" t="s">
        <v>29</v>
      </c>
      <c r="B17" s="218"/>
      <c r="C17" s="222" t="s">
        <v>25</v>
      </c>
      <c r="D17" s="220" t="s">
        <v>22</v>
      </c>
      <c r="E17" s="219"/>
      <c r="F17" s="222" t="s">
        <v>25</v>
      </c>
      <c r="G17" s="220" t="s">
        <v>22</v>
      </c>
      <c r="H17" s="303"/>
      <c r="I17" s="625" t="s">
        <v>25</v>
      </c>
      <c r="J17" s="220" t="s">
        <v>22</v>
      </c>
      <c r="K17" s="219"/>
      <c r="L17" s="222" t="s">
        <v>25</v>
      </c>
      <c r="M17" s="220" t="s">
        <v>22</v>
      </c>
      <c r="N17" s="303"/>
      <c r="O17" s="625" t="s">
        <v>25</v>
      </c>
      <c r="P17" s="220" t="s">
        <v>22</v>
      </c>
      <c r="Q17" s="499"/>
      <c r="R17" s="221" t="s">
        <v>307</v>
      </c>
      <c r="S17" s="119" t="s">
        <v>22</v>
      </c>
      <c r="T17" s="219"/>
      <c r="U17" s="222" t="s">
        <v>25</v>
      </c>
      <c r="V17" s="220" t="s">
        <v>22</v>
      </c>
      <c r="W17" s="219"/>
      <c r="X17" s="222" t="s">
        <v>25</v>
      </c>
      <c r="Y17" s="220" t="s">
        <v>22</v>
      </c>
      <c r="Z17" s="219"/>
      <c r="AA17" s="222" t="s">
        <v>25</v>
      </c>
      <c r="AB17" s="220" t="s">
        <v>22</v>
      </c>
      <c r="AC17" s="219"/>
      <c r="AD17" s="222" t="s">
        <v>25</v>
      </c>
      <c r="AE17" s="220" t="s">
        <v>22</v>
      </c>
      <c r="AF17" s="219"/>
      <c r="AG17" s="222" t="s">
        <v>25</v>
      </c>
      <c r="AH17" s="220" t="s">
        <v>22</v>
      </c>
      <c r="AI17" s="219"/>
      <c r="AJ17" s="222" t="s">
        <v>25</v>
      </c>
      <c r="AK17" s="220" t="s">
        <v>22</v>
      </c>
      <c r="AL17" s="219"/>
      <c r="AM17" s="222" t="s">
        <v>25</v>
      </c>
      <c r="AN17" s="220" t="s">
        <v>22</v>
      </c>
      <c r="AO17" s="219"/>
      <c r="AP17" s="222" t="s">
        <v>25</v>
      </c>
      <c r="AQ17" s="220" t="s">
        <v>22</v>
      </c>
      <c r="AR17" s="303"/>
      <c r="AS17" s="625" t="s">
        <v>25</v>
      </c>
      <c r="AT17" s="220" t="s">
        <v>22</v>
      </c>
      <c r="AU17" s="219"/>
      <c r="AV17" s="222" t="s">
        <v>25</v>
      </c>
      <c r="AW17" s="220" t="s">
        <v>22</v>
      </c>
      <c r="AX17" s="219"/>
      <c r="AY17" s="222" t="s">
        <v>25</v>
      </c>
      <c r="AZ17" s="220" t="s">
        <v>22</v>
      </c>
    </row>
    <row r="18" spans="1:52" hidden="1" x14ac:dyDescent="0.3">
      <c r="A18" s="39" t="s">
        <v>254</v>
      </c>
      <c r="B18" s="218"/>
      <c r="C18" s="625" t="s">
        <v>375</v>
      </c>
      <c r="D18" s="220" t="s">
        <v>22</v>
      </c>
      <c r="E18" s="436"/>
      <c r="F18" s="625" t="s">
        <v>311</v>
      </c>
      <c r="G18" s="220" t="s">
        <v>22</v>
      </c>
      <c r="H18" s="303"/>
      <c r="I18" s="625" t="s">
        <v>270</v>
      </c>
      <c r="J18" s="220" t="s">
        <v>22</v>
      </c>
      <c r="K18" s="219"/>
      <c r="L18" s="222" t="s">
        <v>262</v>
      </c>
      <c r="M18" s="220" t="s">
        <v>22</v>
      </c>
      <c r="N18" s="303"/>
      <c r="O18" s="625" t="s">
        <v>386</v>
      </c>
      <c r="P18" s="220" t="s">
        <v>22</v>
      </c>
      <c r="Q18" s="499"/>
      <c r="R18" s="221" t="s">
        <v>262</v>
      </c>
      <c r="S18" s="119" t="s">
        <v>22</v>
      </c>
      <c r="T18" s="219"/>
      <c r="U18" s="222" t="s">
        <v>314</v>
      </c>
      <c r="V18" s="220" t="s">
        <v>22</v>
      </c>
      <c r="W18" s="219"/>
      <c r="X18" s="222" t="s">
        <v>262</v>
      </c>
      <c r="Y18" s="220" t="s">
        <v>22</v>
      </c>
      <c r="Z18" s="219"/>
      <c r="AA18" s="222" t="s">
        <v>311</v>
      </c>
      <c r="AB18" s="220" t="s">
        <v>22</v>
      </c>
      <c r="AC18" s="219"/>
      <c r="AD18" s="222" t="s">
        <v>311</v>
      </c>
      <c r="AE18" s="220" t="s">
        <v>22</v>
      </c>
      <c r="AF18" s="219"/>
      <c r="AG18" s="222" t="s">
        <v>265</v>
      </c>
      <c r="AH18" s="220" t="s">
        <v>22</v>
      </c>
      <c r="AI18" s="219"/>
      <c r="AJ18" s="222" t="s">
        <v>25</v>
      </c>
      <c r="AK18" s="220" t="s">
        <v>22</v>
      </c>
      <c r="AL18" s="219"/>
      <c r="AM18" s="222" t="s">
        <v>25</v>
      </c>
      <c r="AN18" s="220" t="s">
        <v>22</v>
      </c>
      <c r="AO18" s="219"/>
      <c r="AP18" s="222" t="s">
        <v>25</v>
      </c>
      <c r="AQ18" s="220" t="s">
        <v>22</v>
      </c>
      <c r="AR18" s="303"/>
      <c r="AS18" s="625" t="s">
        <v>25</v>
      </c>
      <c r="AT18" s="220" t="s">
        <v>22</v>
      </c>
      <c r="AU18" s="219"/>
      <c r="AV18" s="222" t="s">
        <v>311</v>
      </c>
      <c r="AW18" s="220" t="s">
        <v>22</v>
      </c>
      <c r="AX18" s="219"/>
      <c r="AY18" s="222" t="s">
        <v>25</v>
      </c>
      <c r="AZ18" s="220" t="s">
        <v>22</v>
      </c>
    </row>
    <row r="19" spans="1:52" hidden="1" x14ac:dyDescent="0.3">
      <c r="A19" s="26" t="s">
        <v>30</v>
      </c>
      <c r="B19" s="218"/>
      <c r="C19" s="222" t="s">
        <v>25</v>
      </c>
      <c r="D19" s="220" t="s">
        <v>22</v>
      </c>
      <c r="E19" s="219"/>
      <c r="F19" s="222" t="s">
        <v>25</v>
      </c>
      <c r="G19" s="220" t="s">
        <v>22</v>
      </c>
      <c r="H19" s="303"/>
      <c r="I19" s="625" t="s">
        <v>25</v>
      </c>
      <c r="J19" s="220" t="s">
        <v>22</v>
      </c>
      <c r="K19" s="219"/>
      <c r="L19" s="222" t="s">
        <v>25</v>
      </c>
      <c r="M19" s="220" t="s">
        <v>22</v>
      </c>
      <c r="N19" s="303"/>
      <c r="O19" s="625" t="s">
        <v>25</v>
      </c>
      <c r="P19" s="220" t="s">
        <v>22</v>
      </c>
      <c r="Q19" s="499"/>
      <c r="R19" s="221" t="s">
        <v>25</v>
      </c>
      <c r="S19" s="119" t="s">
        <v>22</v>
      </c>
      <c r="T19" s="219"/>
      <c r="U19" s="222" t="s">
        <v>266</v>
      </c>
      <c r="V19" s="220" t="s">
        <v>22</v>
      </c>
      <c r="W19" s="219"/>
      <c r="X19" s="222" t="s">
        <v>270</v>
      </c>
      <c r="Y19" s="220" t="s">
        <v>22</v>
      </c>
      <c r="Z19" s="219"/>
      <c r="AA19" s="222" t="s">
        <v>25</v>
      </c>
      <c r="AB19" s="220" t="s">
        <v>22</v>
      </c>
      <c r="AC19" s="219"/>
      <c r="AD19" s="222" t="s">
        <v>25</v>
      </c>
      <c r="AE19" s="220" t="s">
        <v>22</v>
      </c>
      <c r="AF19" s="219"/>
      <c r="AG19" s="222" t="s">
        <v>323</v>
      </c>
      <c r="AH19" s="220" t="s">
        <v>22</v>
      </c>
      <c r="AI19" s="219"/>
      <c r="AJ19" s="222" t="s">
        <v>328</v>
      </c>
      <c r="AK19" s="220" t="s">
        <v>22</v>
      </c>
      <c r="AL19" s="219"/>
      <c r="AM19" s="222" t="s">
        <v>31</v>
      </c>
      <c r="AN19" s="220" t="s">
        <v>22</v>
      </c>
      <c r="AO19" s="219"/>
      <c r="AP19" s="222" t="s">
        <v>31</v>
      </c>
      <c r="AQ19" s="220" t="s">
        <v>22</v>
      </c>
      <c r="AR19" s="303"/>
      <c r="AS19" s="625" t="s">
        <v>31</v>
      </c>
      <c r="AT19" s="220" t="s">
        <v>22</v>
      </c>
      <c r="AU19" s="219"/>
      <c r="AV19" s="222" t="s">
        <v>267</v>
      </c>
      <c r="AW19" s="220" t="s">
        <v>22</v>
      </c>
      <c r="AX19" s="219"/>
      <c r="AY19" s="222">
        <v>100</v>
      </c>
      <c r="AZ19" s="220" t="s">
        <v>22</v>
      </c>
    </row>
    <row r="20" spans="1:52" hidden="1" x14ac:dyDescent="0.3">
      <c r="A20" s="39" t="s">
        <v>32</v>
      </c>
      <c r="B20" s="218"/>
      <c r="C20" s="222" t="s">
        <v>25</v>
      </c>
      <c r="D20" s="220" t="s">
        <v>22</v>
      </c>
      <c r="E20" s="219"/>
      <c r="F20" s="222" t="s">
        <v>25</v>
      </c>
      <c r="G20" s="220" t="s">
        <v>22</v>
      </c>
      <c r="H20" s="303"/>
      <c r="I20" s="625" t="s">
        <v>25</v>
      </c>
      <c r="J20" s="220" t="s">
        <v>22</v>
      </c>
      <c r="K20" s="219"/>
      <c r="L20" s="222" t="s">
        <v>25</v>
      </c>
      <c r="M20" s="220" t="s">
        <v>22</v>
      </c>
      <c r="N20" s="303"/>
      <c r="O20" s="625" t="s">
        <v>25</v>
      </c>
      <c r="P20" s="220" t="s">
        <v>22</v>
      </c>
      <c r="Q20" s="499"/>
      <c r="R20" s="221" t="s">
        <v>25</v>
      </c>
      <c r="S20" s="119" t="s">
        <v>22</v>
      </c>
      <c r="T20" s="219"/>
      <c r="U20" s="222" t="s">
        <v>268</v>
      </c>
      <c r="V20" s="220" t="s">
        <v>22</v>
      </c>
      <c r="W20" s="219"/>
      <c r="X20" s="222" t="s">
        <v>33</v>
      </c>
      <c r="Y20" s="220" t="s">
        <v>22</v>
      </c>
      <c r="Z20" s="219"/>
      <c r="AA20" s="222" t="s">
        <v>25</v>
      </c>
      <c r="AB20" s="220" t="s">
        <v>22</v>
      </c>
      <c r="AC20" s="219"/>
      <c r="AD20" s="222" t="s">
        <v>25</v>
      </c>
      <c r="AE20" s="220" t="s">
        <v>22</v>
      </c>
      <c r="AF20" s="219"/>
      <c r="AG20" s="222" t="s">
        <v>264</v>
      </c>
      <c r="AH20" s="220" t="s">
        <v>22</v>
      </c>
      <c r="AI20" s="219"/>
      <c r="AJ20" s="222" t="s">
        <v>34</v>
      </c>
      <c r="AK20" s="220" t="s">
        <v>22</v>
      </c>
      <c r="AL20" s="219"/>
      <c r="AM20" s="222">
        <v>0</v>
      </c>
      <c r="AN20" s="220" t="s">
        <v>22</v>
      </c>
      <c r="AO20" s="219"/>
      <c r="AP20" s="222">
        <v>0</v>
      </c>
      <c r="AQ20" s="220" t="s">
        <v>22</v>
      </c>
      <c r="AR20" s="303"/>
      <c r="AS20" s="625">
        <v>0</v>
      </c>
      <c r="AT20" s="220" t="s">
        <v>22</v>
      </c>
      <c r="AU20" s="219"/>
      <c r="AV20" s="222">
        <v>0</v>
      </c>
      <c r="AW20" s="220" t="s">
        <v>22</v>
      </c>
      <c r="AX20" s="219"/>
      <c r="AY20" s="222">
        <v>0</v>
      </c>
      <c r="AZ20" s="220" t="s">
        <v>22</v>
      </c>
    </row>
    <row r="21" spans="1:52" hidden="1" x14ac:dyDescent="0.3">
      <c r="A21" s="39" t="s">
        <v>35</v>
      </c>
      <c r="B21" s="218"/>
      <c r="C21" s="222" t="s">
        <v>25</v>
      </c>
      <c r="D21" s="220" t="s">
        <v>22</v>
      </c>
      <c r="E21" s="219"/>
      <c r="F21" s="222" t="s">
        <v>25</v>
      </c>
      <c r="G21" s="220" t="s">
        <v>22</v>
      </c>
      <c r="H21" s="303"/>
      <c r="I21" s="625" t="s">
        <v>25</v>
      </c>
      <c r="J21" s="220" t="s">
        <v>22</v>
      </c>
      <c r="K21" s="219"/>
      <c r="L21" s="222" t="s">
        <v>25</v>
      </c>
      <c r="M21" s="220" t="s">
        <v>22</v>
      </c>
      <c r="N21" s="303"/>
      <c r="O21" s="625" t="s">
        <v>25</v>
      </c>
      <c r="P21" s="220" t="s">
        <v>22</v>
      </c>
      <c r="Q21" s="499"/>
      <c r="R21" s="221" t="s">
        <v>25</v>
      </c>
      <c r="S21" s="119" t="s">
        <v>22</v>
      </c>
      <c r="T21" s="219"/>
      <c r="U21" s="222" t="s">
        <v>269</v>
      </c>
      <c r="V21" s="220" t="s">
        <v>22</v>
      </c>
      <c r="W21" s="219"/>
      <c r="X21" s="222" t="s">
        <v>34</v>
      </c>
      <c r="Y21" s="220" t="s">
        <v>22</v>
      </c>
      <c r="Z21" s="219"/>
      <c r="AA21" s="222" t="s">
        <v>25</v>
      </c>
      <c r="AB21" s="220" t="s">
        <v>22</v>
      </c>
      <c r="AC21" s="219"/>
      <c r="AD21" s="222" t="s">
        <v>25</v>
      </c>
      <c r="AE21" s="220" t="s">
        <v>22</v>
      </c>
      <c r="AF21" s="219"/>
      <c r="AG21" s="222" t="s">
        <v>308</v>
      </c>
      <c r="AH21" s="220" t="s">
        <v>22</v>
      </c>
      <c r="AI21" s="219"/>
      <c r="AJ21" s="625" t="s">
        <v>321</v>
      </c>
      <c r="AK21" s="220" t="s">
        <v>22</v>
      </c>
      <c r="AL21" s="219"/>
      <c r="AM21" s="222" t="s">
        <v>271</v>
      </c>
      <c r="AN21" s="220" t="s">
        <v>22</v>
      </c>
      <c r="AO21" s="219"/>
      <c r="AP21" s="222" t="s">
        <v>34</v>
      </c>
      <c r="AQ21" s="220" t="s">
        <v>22</v>
      </c>
      <c r="AR21" s="303"/>
      <c r="AS21" s="625">
        <v>0</v>
      </c>
      <c r="AT21" s="220" t="s">
        <v>22</v>
      </c>
      <c r="AU21" s="219"/>
      <c r="AV21" s="222">
        <v>0</v>
      </c>
      <c r="AW21" s="220" t="s">
        <v>22</v>
      </c>
      <c r="AX21" s="219"/>
      <c r="AY21" s="222">
        <v>0</v>
      </c>
      <c r="AZ21" s="220" t="s">
        <v>22</v>
      </c>
    </row>
    <row r="22" spans="1:52" hidden="1" x14ac:dyDescent="0.3">
      <c r="A22" s="39" t="s">
        <v>255</v>
      </c>
      <c r="B22" s="218"/>
      <c r="C22" s="222" t="s">
        <v>25</v>
      </c>
      <c r="D22" s="220" t="s">
        <v>256</v>
      </c>
      <c r="E22" s="219"/>
      <c r="F22" s="222" t="s">
        <v>25</v>
      </c>
      <c r="G22" s="220" t="s">
        <v>256</v>
      </c>
      <c r="H22" s="303"/>
      <c r="I22" s="625" t="s">
        <v>25</v>
      </c>
      <c r="J22" s="220" t="s">
        <v>256</v>
      </c>
      <c r="K22" s="219"/>
      <c r="L22" s="222" t="s">
        <v>25</v>
      </c>
      <c r="M22" s="220" t="s">
        <v>256</v>
      </c>
      <c r="N22" s="303"/>
      <c r="O22" s="625" t="s">
        <v>25</v>
      </c>
      <c r="P22" s="220" t="s">
        <v>256</v>
      </c>
      <c r="Q22" s="499"/>
      <c r="R22" s="221" t="s">
        <v>25</v>
      </c>
      <c r="S22" s="119" t="s">
        <v>256</v>
      </c>
      <c r="T22" s="219"/>
      <c r="U22" s="222" t="s">
        <v>315</v>
      </c>
      <c r="V22" s="220" t="s">
        <v>256</v>
      </c>
      <c r="W22" s="219"/>
      <c r="X22" s="222" t="s">
        <v>25</v>
      </c>
      <c r="Y22" s="220" t="s">
        <v>256</v>
      </c>
      <c r="Z22" s="219"/>
      <c r="AA22" s="222" t="s">
        <v>25</v>
      </c>
      <c r="AB22" s="220" t="s">
        <v>256</v>
      </c>
      <c r="AC22" s="219"/>
      <c r="AD22" s="222" t="s">
        <v>25</v>
      </c>
      <c r="AE22" s="220" t="s">
        <v>256</v>
      </c>
      <c r="AF22" s="219"/>
      <c r="AG22" s="222" t="s">
        <v>324</v>
      </c>
      <c r="AH22" s="220" t="s">
        <v>256</v>
      </c>
      <c r="AI22" s="219"/>
      <c r="AJ22" s="222" t="s">
        <v>25</v>
      </c>
      <c r="AK22" s="220" t="s">
        <v>256</v>
      </c>
      <c r="AL22" s="219"/>
      <c r="AM22" s="222" t="s">
        <v>25</v>
      </c>
      <c r="AN22" s="220" t="s">
        <v>256</v>
      </c>
      <c r="AO22" s="219"/>
      <c r="AP22" s="222" t="s">
        <v>25</v>
      </c>
      <c r="AQ22" s="220" t="s">
        <v>256</v>
      </c>
      <c r="AR22" s="303"/>
      <c r="AS22" s="625" t="s">
        <v>25</v>
      </c>
      <c r="AT22" s="220" t="s">
        <v>256</v>
      </c>
      <c r="AU22" s="219"/>
      <c r="AV22" s="222" t="s">
        <v>300</v>
      </c>
      <c r="AW22" s="220" t="s">
        <v>256</v>
      </c>
      <c r="AX22" s="219"/>
      <c r="AY22" s="222" t="s">
        <v>300</v>
      </c>
      <c r="AZ22" s="220" t="s">
        <v>256</v>
      </c>
    </row>
    <row r="23" spans="1:52" hidden="1" x14ac:dyDescent="0.3">
      <c r="A23" s="39" t="s">
        <v>37</v>
      </c>
      <c r="B23" s="218"/>
      <c r="C23" s="222" t="s">
        <v>25</v>
      </c>
      <c r="D23" s="220" t="s">
        <v>22</v>
      </c>
      <c r="E23" s="219"/>
      <c r="F23" s="222" t="s">
        <v>25</v>
      </c>
      <c r="G23" s="220" t="s">
        <v>22</v>
      </c>
      <c r="H23" s="303"/>
      <c r="I23" s="625" t="s">
        <v>25</v>
      </c>
      <c r="J23" s="220" t="s">
        <v>22</v>
      </c>
      <c r="K23" s="219"/>
      <c r="L23" s="222" t="s">
        <v>25</v>
      </c>
      <c r="M23" s="220" t="s">
        <v>22</v>
      </c>
      <c r="N23" s="303"/>
      <c r="O23" s="625" t="s">
        <v>25</v>
      </c>
      <c r="P23" s="220" t="s">
        <v>22</v>
      </c>
      <c r="Q23" s="499"/>
      <c r="R23" s="221" t="s">
        <v>25</v>
      </c>
      <c r="S23" s="119" t="s">
        <v>22</v>
      </c>
      <c r="T23" s="219"/>
      <c r="U23" s="222" t="s">
        <v>271</v>
      </c>
      <c r="V23" s="220" t="s">
        <v>22</v>
      </c>
      <c r="W23" s="219"/>
      <c r="X23" s="222" t="s">
        <v>38</v>
      </c>
      <c r="Y23" s="220" t="s">
        <v>22</v>
      </c>
      <c r="Z23" s="219"/>
      <c r="AA23" s="222" t="s">
        <v>25</v>
      </c>
      <c r="AB23" s="220" t="s">
        <v>22</v>
      </c>
      <c r="AC23" s="219"/>
      <c r="AD23" s="222" t="s">
        <v>36</v>
      </c>
      <c r="AE23" s="220" t="s">
        <v>22</v>
      </c>
      <c r="AF23" s="219"/>
      <c r="AG23" s="222" t="s">
        <v>272</v>
      </c>
      <c r="AH23" s="220" t="s">
        <v>22</v>
      </c>
      <c r="AI23" s="219"/>
      <c r="AJ23" s="222" t="s">
        <v>391</v>
      </c>
      <c r="AK23" s="220" t="s">
        <v>22</v>
      </c>
      <c r="AL23" s="219"/>
      <c r="AM23" s="222" t="s">
        <v>31</v>
      </c>
      <c r="AN23" s="220" t="s">
        <v>22</v>
      </c>
      <c r="AO23" s="219"/>
      <c r="AP23" s="222" t="s">
        <v>31</v>
      </c>
      <c r="AQ23" s="220" t="s">
        <v>22</v>
      </c>
      <c r="AR23" s="303"/>
      <c r="AS23" s="625" t="s">
        <v>394</v>
      </c>
      <c r="AT23" s="220" t="s">
        <v>22</v>
      </c>
      <c r="AU23" s="219"/>
      <c r="AV23" s="222" t="s">
        <v>267</v>
      </c>
      <c r="AW23" s="220" t="s">
        <v>22</v>
      </c>
      <c r="AX23" s="219"/>
      <c r="AY23" s="222">
        <v>100</v>
      </c>
      <c r="AZ23" s="220" t="s">
        <v>22</v>
      </c>
    </row>
    <row r="24" spans="1:52" hidden="1" x14ac:dyDescent="0.3">
      <c r="A24" s="39" t="s">
        <v>376</v>
      </c>
      <c r="B24" s="223"/>
      <c r="C24" s="625" t="s">
        <v>415</v>
      </c>
      <c r="D24" s="220" t="s">
        <v>40</v>
      </c>
      <c r="E24" s="224"/>
      <c r="F24" s="625" t="s">
        <v>416</v>
      </c>
      <c r="G24" s="220" t="s">
        <v>40</v>
      </c>
      <c r="H24" s="303"/>
      <c r="I24" s="625" t="s">
        <v>417</v>
      </c>
      <c r="J24" s="220" t="s">
        <v>40</v>
      </c>
      <c r="K24" s="224"/>
      <c r="L24" s="625" t="s">
        <v>420</v>
      </c>
      <c r="M24" s="220" t="s">
        <v>40</v>
      </c>
      <c r="N24" s="303"/>
      <c r="O24" s="625" t="s">
        <v>421</v>
      </c>
      <c r="P24" s="220" t="s">
        <v>40</v>
      </c>
      <c r="Q24" s="500"/>
      <c r="R24" s="635" t="s">
        <v>423</v>
      </c>
      <c r="S24" s="119" t="s">
        <v>40</v>
      </c>
      <c r="T24" s="224"/>
      <c r="U24" s="625" t="s">
        <v>431</v>
      </c>
      <c r="V24" s="220" t="s">
        <v>40</v>
      </c>
      <c r="W24" s="224"/>
      <c r="X24" s="625" t="s">
        <v>424</v>
      </c>
      <c r="Y24" s="220" t="s">
        <v>40</v>
      </c>
      <c r="Z24" s="224"/>
      <c r="AA24" s="625" t="s">
        <v>319</v>
      </c>
      <c r="AB24" s="220" t="s">
        <v>40</v>
      </c>
      <c r="AC24" s="224"/>
      <c r="AD24" s="625" t="s">
        <v>427</v>
      </c>
      <c r="AE24" s="220" t="s">
        <v>40</v>
      </c>
      <c r="AF24" s="224"/>
      <c r="AG24" s="625" t="s">
        <v>432</v>
      </c>
      <c r="AH24" s="220" t="s">
        <v>40</v>
      </c>
      <c r="AI24" s="224"/>
      <c r="AJ24" s="625" t="s">
        <v>428</v>
      </c>
      <c r="AK24" s="220" t="s">
        <v>40</v>
      </c>
      <c r="AL24" s="224"/>
      <c r="AM24" s="625" t="s">
        <v>429</v>
      </c>
      <c r="AN24" s="220" t="s">
        <v>40</v>
      </c>
      <c r="AO24" s="224"/>
      <c r="AP24" s="625" t="s">
        <v>429</v>
      </c>
      <c r="AQ24" s="220" t="s">
        <v>40</v>
      </c>
      <c r="AR24" s="303"/>
      <c r="AS24" s="625" t="s">
        <v>430</v>
      </c>
      <c r="AT24" s="220" t="s">
        <v>40</v>
      </c>
      <c r="AU24" s="224"/>
      <c r="AV24" s="625" t="s">
        <v>433</v>
      </c>
      <c r="AW24" s="220" t="s">
        <v>40</v>
      </c>
      <c r="AX24" s="224"/>
      <c r="AY24" s="665" t="s">
        <v>434</v>
      </c>
      <c r="AZ24" s="220" t="s">
        <v>40</v>
      </c>
    </row>
    <row r="25" spans="1:52" hidden="1" x14ac:dyDescent="0.3">
      <c r="A25" s="39" t="s">
        <v>376</v>
      </c>
      <c r="B25" s="223"/>
      <c r="C25" s="663" t="s">
        <v>404</v>
      </c>
      <c r="D25" s="220" t="s">
        <v>40</v>
      </c>
      <c r="E25" s="224"/>
      <c r="F25" s="663"/>
      <c r="G25" s="220" t="s">
        <v>40</v>
      </c>
      <c r="H25" s="303"/>
      <c r="I25" s="663"/>
      <c r="J25" s="220" t="s">
        <v>40</v>
      </c>
      <c r="K25" s="224"/>
      <c r="L25" s="663" t="s">
        <v>418</v>
      </c>
      <c r="M25" s="220" t="s">
        <v>40</v>
      </c>
      <c r="N25" s="303"/>
      <c r="O25" s="663" t="s">
        <v>406</v>
      </c>
      <c r="P25" s="220" t="s">
        <v>40</v>
      </c>
      <c r="Q25" s="500"/>
      <c r="R25" s="664"/>
      <c r="S25" s="119" t="s">
        <v>40</v>
      </c>
      <c r="T25" s="224"/>
      <c r="U25" s="663"/>
      <c r="V25" s="220" t="s">
        <v>40</v>
      </c>
      <c r="W25" s="224"/>
      <c r="X25" s="663" t="s">
        <v>408</v>
      </c>
      <c r="Y25" s="220" t="s">
        <v>40</v>
      </c>
      <c r="Z25" s="224"/>
      <c r="AA25" s="663" t="s">
        <v>411</v>
      </c>
      <c r="AB25" s="220" t="s">
        <v>40</v>
      </c>
      <c r="AC25" s="224"/>
      <c r="AD25" s="663" t="s">
        <v>414</v>
      </c>
      <c r="AE25" s="220" t="s">
        <v>40</v>
      </c>
      <c r="AF25" s="224"/>
      <c r="AG25" s="663" t="s">
        <v>412</v>
      </c>
      <c r="AH25" s="220" t="s">
        <v>40</v>
      </c>
      <c r="AI25" s="224"/>
      <c r="AJ25" s="663"/>
      <c r="AK25" s="220" t="s">
        <v>40</v>
      </c>
      <c r="AL25" s="224"/>
      <c r="AM25" s="663"/>
      <c r="AN25" s="220" t="s">
        <v>40</v>
      </c>
      <c r="AO25" s="224"/>
      <c r="AP25" s="663"/>
      <c r="AQ25" s="220" t="s">
        <v>40</v>
      </c>
      <c r="AR25" s="303"/>
      <c r="AS25" s="663"/>
      <c r="AT25" s="220" t="s">
        <v>40</v>
      </c>
      <c r="AU25" s="224"/>
      <c r="AV25" s="663"/>
      <c r="AW25" s="220" t="s">
        <v>40</v>
      </c>
      <c r="AX25" s="224"/>
      <c r="AY25" s="663"/>
      <c r="AZ25" s="220" t="s">
        <v>40</v>
      </c>
    </row>
    <row r="26" spans="1:52" hidden="1" x14ac:dyDescent="0.3">
      <c r="A26" s="39" t="s">
        <v>376</v>
      </c>
      <c r="B26" s="223"/>
      <c r="C26" s="222" t="s">
        <v>379</v>
      </c>
      <c r="D26" s="220" t="s">
        <v>40</v>
      </c>
      <c r="E26" s="224"/>
      <c r="F26" s="222" t="s">
        <v>274</v>
      </c>
      <c r="G26" s="220" t="s">
        <v>40</v>
      </c>
      <c r="H26" s="303"/>
      <c r="I26" s="222" t="s">
        <v>381</v>
      </c>
      <c r="J26" s="220" t="s">
        <v>40</v>
      </c>
      <c r="K26" s="224"/>
      <c r="L26" s="222" t="s">
        <v>41</v>
      </c>
      <c r="M26" s="220" t="s">
        <v>40</v>
      </c>
      <c r="N26" s="303"/>
      <c r="O26" s="222" t="s">
        <v>384</v>
      </c>
      <c r="P26" s="220" t="s">
        <v>40</v>
      </c>
      <c r="Q26" s="500"/>
      <c r="R26" s="221" t="s">
        <v>309</v>
      </c>
      <c r="S26" s="119" t="s">
        <v>40</v>
      </c>
      <c r="T26" s="224"/>
      <c r="U26" s="222" t="s">
        <v>316</v>
      </c>
      <c r="V26" s="220" t="s">
        <v>40</v>
      </c>
      <c r="W26" s="224"/>
      <c r="X26" s="222" t="s">
        <v>318</v>
      </c>
      <c r="Y26" s="220" t="s">
        <v>40</v>
      </c>
      <c r="Z26" s="224"/>
      <c r="AA26" s="222" t="s">
        <v>319</v>
      </c>
      <c r="AB26" s="220" t="s">
        <v>40</v>
      </c>
      <c r="AC26" s="224"/>
      <c r="AD26" s="222" t="s">
        <v>276</v>
      </c>
      <c r="AE26" s="220" t="s">
        <v>40</v>
      </c>
      <c r="AF26" s="224"/>
      <c r="AG26" s="222" t="s">
        <v>325</v>
      </c>
      <c r="AH26" s="220" t="s">
        <v>40</v>
      </c>
      <c r="AI26" s="224"/>
      <c r="AJ26" s="222" t="s">
        <v>393</v>
      </c>
      <c r="AK26" s="220" t="s">
        <v>40</v>
      </c>
      <c r="AL26" s="224"/>
      <c r="AM26" s="222" t="s">
        <v>330</v>
      </c>
      <c r="AN26" s="220" t="s">
        <v>40</v>
      </c>
      <c r="AO26" s="224"/>
      <c r="AP26" s="222" t="s">
        <v>330</v>
      </c>
      <c r="AQ26" s="220" t="s">
        <v>40</v>
      </c>
      <c r="AR26" s="303"/>
      <c r="AS26" s="222" t="s">
        <v>395</v>
      </c>
      <c r="AT26" s="220" t="s">
        <v>40</v>
      </c>
      <c r="AU26" s="224"/>
      <c r="AV26" s="222" t="s">
        <v>334</v>
      </c>
      <c r="AW26" s="220" t="s">
        <v>40</v>
      </c>
      <c r="AX26" s="224"/>
      <c r="AY26" s="222" t="s">
        <v>335</v>
      </c>
      <c r="AZ26" s="220" t="s">
        <v>40</v>
      </c>
    </row>
    <row r="27" spans="1:52" hidden="1" x14ac:dyDescent="0.3">
      <c r="A27" s="26" t="s">
        <v>42</v>
      </c>
      <c r="B27" s="225"/>
      <c r="C27" s="625" t="s">
        <v>377</v>
      </c>
      <c r="D27" s="220" t="s">
        <v>43</v>
      </c>
      <c r="E27" s="226"/>
      <c r="F27" s="625" t="s">
        <v>380</v>
      </c>
      <c r="G27" s="220" t="s">
        <v>43</v>
      </c>
      <c r="H27" s="303"/>
      <c r="I27" s="625" t="s">
        <v>382</v>
      </c>
      <c r="J27" s="220" t="s">
        <v>43</v>
      </c>
      <c r="K27" s="226"/>
      <c r="L27" s="625" t="s">
        <v>313</v>
      </c>
      <c r="M27" s="220" t="s">
        <v>43</v>
      </c>
      <c r="N27" s="303"/>
      <c r="O27" s="625" t="s">
        <v>422</v>
      </c>
      <c r="P27" s="220" t="s">
        <v>43</v>
      </c>
      <c r="Q27" s="255"/>
      <c r="R27" s="635" t="s">
        <v>313</v>
      </c>
      <c r="S27" s="119" t="s">
        <v>43</v>
      </c>
      <c r="T27" s="226"/>
      <c r="U27" s="625" t="s">
        <v>310</v>
      </c>
      <c r="V27" s="220" t="s">
        <v>43</v>
      </c>
      <c r="W27" s="226"/>
      <c r="X27" s="625" t="s">
        <v>425</v>
      </c>
      <c r="Y27" s="220" t="s">
        <v>43</v>
      </c>
      <c r="Z27" s="226"/>
      <c r="AA27" s="625" t="s">
        <v>426</v>
      </c>
      <c r="AB27" s="220" t="s">
        <v>43</v>
      </c>
      <c r="AC27" s="226"/>
      <c r="AD27" s="625" t="s">
        <v>277</v>
      </c>
      <c r="AE27" s="220" t="s">
        <v>43</v>
      </c>
      <c r="AF27" s="226"/>
      <c r="AG27" s="625" t="s">
        <v>413</v>
      </c>
      <c r="AH27" s="220" t="s">
        <v>43</v>
      </c>
      <c r="AI27" s="226"/>
      <c r="AJ27" s="625" t="s">
        <v>275</v>
      </c>
      <c r="AK27" s="220" t="s">
        <v>43</v>
      </c>
      <c r="AL27" s="226"/>
      <c r="AM27" s="625" t="s">
        <v>333</v>
      </c>
      <c r="AN27" s="220" t="s">
        <v>43</v>
      </c>
      <c r="AO27" s="226"/>
      <c r="AP27" s="625" t="s">
        <v>333</v>
      </c>
      <c r="AQ27" s="220" t="s">
        <v>43</v>
      </c>
      <c r="AR27" s="303"/>
      <c r="AS27" s="625" t="s">
        <v>396</v>
      </c>
      <c r="AT27" s="220" t="s">
        <v>43</v>
      </c>
      <c r="AU27" s="226"/>
      <c r="AV27" s="625" t="s">
        <v>279</v>
      </c>
      <c r="AW27" s="220" t="s">
        <v>43</v>
      </c>
      <c r="AX27" s="226"/>
      <c r="AY27" s="625" t="s">
        <v>305</v>
      </c>
      <c r="AZ27" s="220" t="s">
        <v>43</v>
      </c>
    </row>
    <row r="28" spans="1:52" hidden="1" x14ac:dyDescent="0.3">
      <c r="A28" s="26" t="s">
        <v>42</v>
      </c>
      <c r="B28" s="225"/>
      <c r="C28" s="663" t="s">
        <v>405</v>
      </c>
      <c r="D28" s="220" t="s">
        <v>43</v>
      </c>
      <c r="E28" s="226"/>
      <c r="F28" s="663"/>
      <c r="G28" s="220" t="s">
        <v>43</v>
      </c>
      <c r="H28" s="303"/>
      <c r="I28" s="663"/>
      <c r="J28" s="220" t="s">
        <v>43</v>
      </c>
      <c r="K28" s="226"/>
      <c r="L28" s="663" t="s">
        <v>419</v>
      </c>
      <c r="M28" s="220" t="s">
        <v>43</v>
      </c>
      <c r="N28" s="303"/>
      <c r="O28" s="663" t="s">
        <v>407</v>
      </c>
      <c r="P28" s="220" t="s">
        <v>43</v>
      </c>
      <c r="Q28" s="255"/>
      <c r="R28" s="664"/>
      <c r="S28" s="119" t="s">
        <v>43</v>
      </c>
      <c r="T28" s="226"/>
      <c r="U28" s="663"/>
      <c r="V28" s="220" t="s">
        <v>43</v>
      </c>
      <c r="W28" s="226"/>
      <c r="X28" s="663" t="s">
        <v>410</v>
      </c>
      <c r="Y28" s="220" t="s">
        <v>43</v>
      </c>
      <c r="Z28" s="226"/>
      <c r="AA28" s="663" t="s">
        <v>409</v>
      </c>
      <c r="AB28" s="220" t="s">
        <v>43</v>
      </c>
      <c r="AC28" s="226"/>
      <c r="AD28" s="663">
        <v>50</v>
      </c>
      <c r="AE28" s="220" t="s">
        <v>43</v>
      </c>
      <c r="AF28" s="226"/>
      <c r="AG28" s="663" t="s">
        <v>413</v>
      </c>
      <c r="AH28" s="220" t="s">
        <v>43</v>
      </c>
      <c r="AI28" s="226"/>
      <c r="AJ28" s="663"/>
      <c r="AK28" s="220" t="s">
        <v>43</v>
      </c>
      <c r="AL28" s="226"/>
      <c r="AM28" s="663"/>
      <c r="AN28" s="220" t="s">
        <v>43</v>
      </c>
      <c r="AO28" s="226"/>
      <c r="AP28" s="663"/>
      <c r="AQ28" s="220" t="s">
        <v>43</v>
      </c>
      <c r="AR28" s="303"/>
      <c r="AS28" s="663"/>
      <c r="AT28" s="220" t="s">
        <v>43</v>
      </c>
      <c r="AU28" s="226"/>
      <c r="AV28" s="663"/>
      <c r="AW28" s="220" t="s">
        <v>43</v>
      </c>
      <c r="AX28" s="226"/>
      <c r="AY28" s="663"/>
      <c r="AZ28" s="220" t="s">
        <v>43</v>
      </c>
    </row>
    <row r="29" spans="1:52" hidden="1" x14ac:dyDescent="0.3">
      <c r="A29" s="26" t="s">
        <v>42</v>
      </c>
      <c r="B29" s="225"/>
      <c r="C29" s="222" t="s">
        <v>377</v>
      </c>
      <c r="D29" s="220" t="s">
        <v>43</v>
      </c>
      <c r="E29" s="226"/>
      <c r="F29" s="222" t="s">
        <v>380</v>
      </c>
      <c r="G29" s="220" t="s">
        <v>43</v>
      </c>
      <c r="H29" s="303"/>
      <c r="I29" s="222" t="s">
        <v>382</v>
      </c>
      <c r="J29" s="220" t="s">
        <v>43</v>
      </c>
      <c r="K29" s="226"/>
      <c r="L29" s="222" t="s">
        <v>313</v>
      </c>
      <c r="M29" s="220" t="s">
        <v>43</v>
      </c>
      <c r="N29" s="303"/>
      <c r="O29" s="222" t="s">
        <v>385</v>
      </c>
      <c r="P29" s="220" t="s">
        <v>43</v>
      </c>
      <c r="Q29" s="255"/>
      <c r="R29" s="221" t="s">
        <v>313</v>
      </c>
      <c r="S29" s="119" t="s">
        <v>43</v>
      </c>
      <c r="T29" s="226"/>
      <c r="U29" s="222" t="s">
        <v>310</v>
      </c>
      <c r="V29" s="220" t="s">
        <v>43</v>
      </c>
      <c r="W29" s="226"/>
      <c r="X29" s="222" t="s">
        <v>390</v>
      </c>
      <c r="Y29" s="220" t="s">
        <v>43</v>
      </c>
      <c r="Z29" s="226"/>
      <c r="AA29" s="222" t="s">
        <v>320</v>
      </c>
      <c r="AB29" s="220" t="s">
        <v>43</v>
      </c>
      <c r="AC29" s="226"/>
      <c r="AD29" s="222" t="s">
        <v>277</v>
      </c>
      <c r="AE29" s="220" t="s">
        <v>43</v>
      </c>
      <c r="AF29" s="226"/>
      <c r="AG29" s="222" t="s">
        <v>326</v>
      </c>
      <c r="AH29" s="220" t="s">
        <v>43</v>
      </c>
      <c r="AI29" s="226"/>
      <c r="AJ29" s="222" t="s">
        <v>275</v>
      </c>
      <c r="AK29" s="220" t="s">
        <v>43</v>
      </c>
      <c r="AL29" s="226"/>
      <c r="AM29" s="222" t="s">
        <v>331</v>
      </c>
      <c r="AN29" s="220" t="s">
        <v>43</v>
      </c>
      <c r="AO29" s="226"/>
      <c r="AP29" s="222" t="s">
        <v>333</v>
      </c>
      <c r="AQ29" s="220" t="s">
        <v>43</v>
      </c>
      <c r="AR29" s="303"/>
      <c r="AS29" s="222" t="s">
        <v>396</v>
      </c>
      <c r="AT29" s="220" t="s">
        <v>43</v>
      </c>
      <c r="AU29" s="226"/>
      <c r="AV29" s="222" t="s">
        <v>279</v>
      </c>
      <c r="AW29" s="220" t="s">
        <v>43</v>
      </c>
      <c r="AX29" s="226"/>
      <c r="AY29" s="222" t="s">
        <v>305</v>
      </c>
      <c r="AZ29" s="220" t="s">
        <v>43</v>
      </c>
    </row>
    <row r="30" spans="1:52" hidden="1" x14ac:dyDescent="0.3">
      <c r="A30" s="39" t="s">
        <v>44</v>
      </c>
      <c r="B30" s="225"/>
      <c r="C30" s="625" t="s">
        <v>34</v>
      </c>
      <c r="D30" s="220" t="s">
        <v>22</v>
      </c>
      <c r="E30" s="226"/>
      <c r="F30" s="222" t="s">
        <v>34</v>
      </c>
      <c r="G30" s="220" t="s">
        <v>22</v>
      </c>
      <c r="H30" s="303"/>
      <c r="I30" s="625" t="s">
        <v>34</v>
      </c>
      <c r="J30" s="220" t="s">
        <v>22</v>
      </c>
      <c r="K30" s="226"/>
      <c r="L30" s="222" t="s">
        <v>262</v>
      </c>
      <c r="M30" s="220" t="s">
        <v>22</v>
      </c>
      <c r="N30" s="303"/>
      <c r="O30" s="625" t="s">
        <v>387</v>
      </c>
      <c r="P30" s="220" t="s">
        <v>22</v>
      </c>
      <c r="Q30" s="226"/>
      <c r="R30" s="222" t="s">
        <v>262</v>
      </c>
      <c r="S30" s="220" t="s">
        <v>22</v>
      </c>
      <c r="T30" s="226"/>
      <c r="U30" s="222" t="s">
        <v>317</v>
      </c>
      <c r="V30" s="220" t="s">
        <v>22</v>
      </c>
      <c r="W30" s="226"/>
      <c r="X30" s="222" t="s">
        <v>262</v>
      </c>
      <c r="Y30" s="220" t="s">
        <v>22</v>
      </c>
      <c r="Z30" s="226"/>
      <c r="AA30" s="222" t="s">
        <v>321</v>
      </c>
      <c r="AB30" s="220" t="s">
        <v>22</v>
      </c>
      <c r="AC30" s="226"/>
      <c r="AD30" s="222" t="s">
        <v>322</v>
      </c>
      <c r="AE30" s="220" t="s">
        <v>22</v>
      </c>
      <c r="AF30" s="226"/>
      <c r="AG30" s="222" t="s">
        <v>327</v>
      </c>
      <c r="AH30" s="220"/>
      <c r="AI30" s="226"/>
      <c r="AJ30" s="625" t="s">
        <v>392</v>
      </c>
      <c r="AK30" s="220" t="s">
        <v>22</v>
      </c>
      <c r="AL30" s="226"/>
      <c r="AM30" s="222" t="s">
        <v>299</v>
      </c>
      <c r="AN30" s="220" t="s">
        <v>22</v>
      </c>
      <c r="AO30" s="226"/>
      <c r="AP30" s="222" t="s">
        <v>278</v>
      </c>
      <c r="AQ30" s="220" t="s">
        <v>22</v>
      </c>
      <c r="AR30" s="303"/>
      <c r="AS30" s="625" t="s">
        <v>397</v>
      </c>
      <c r="AT30" s="220" t="s">
        <v>22</v>
      </c>
      <c r="AU30" s="226"/>
      <c r="AV30" s="222" t="s">
        <v>301</v>
      </c>
      <c r="AW30" s="220" t="s">
        <v>22</v>
      </c>
      <c r="AX30" s="226"/>
      <c r="AY30" s="222" t="s">
        <v>302</v>
      </c>
      <c r="AZ30" s="220" t="s">
        <v>22</v>
      </c>
    </row>
    <row r="31" spans="1:52" hidden="1" x14ac:dyDescent="0.3">
      <c r="A31" s="48"/>
      <c r="B31" s="227"/>
      <c r="C31" s="280"/>
      <c r="D31" s="281"/>
      <c r="E31" s="282"/>
      <c r="F31" s="280"/>
      <c r="G31" s="281"/>
      <c r="H31" s="280"/>
      <c r="I31" s="280"/>
      <c r="J31" s="280"/>
      <c r="K31" s="282"/>
      <c r="L31" s="280"/>
      <c r="M31" s="281"/>
      <c r="N31" s="280"/>
      <c r="O31" s="280"/>
      <c r="P31" s="280"/>
      <c r="Q31" s="501"/>
      <c r="R31" s="502"/>
      <c r="S31" s="503"/>
      <c r="T31" s="282"/>
      <c r="U31" s="280"/>
      <c r="V31" s="281"/>
      <c r="W31" s="228"/>
      <c r="X31" s="229"/>
      <c r="Y31" s="230"/>
      <c r="Z31" s="228"/>
      <c r="AA31" s="229"/>
      <c r="AB31" s="230"/>
      <c r="AC31" s="282"/>
      <c r="AD31" s="280"/>
      <c r="AE31" s="281"/>
      <c r="AF31" s="282"/>
      <c r="AG31" s="280"/>
      <c r="AH31" s="281"/>
      <c r="AI31" s="282"/>
      <c r="AJ31" s="280"/>
      <c r="AK31" s="281"/>
      <c r="AL31" s="282"/>
      <c r="AM31" s="280"/>
      <c r="AN31" s="281"/>
      <c r="AO31" s="282"/>
      <c r="AP31" s="280"/>
      <c r="AQ31" s="281"/>
      <c r="AR31" s="280"/>
      <c r="AS31" s="280"/>
      <c r="AT31" s="281"/>
      <c r="AU31" s="282"/>
      <c r="AV31" s="280"/>
      <c r="AW31" s="281"/>
      <c r="AX31" s="282"/>
      <c r="AY31" s="280"/>
      <c r="AZ31" s="281"/>
    </row>
    <row r="32" spans="1:52" hidden="1" x14ac:dyDescent="0.3">
      <c r="A32" s="12"/>
      <c r="B32" s="726">
        <v>2018</v>
      </c>
      <c r="C32" s="727"/>
      <c r="D32" s="728"/>
      <c r="E32" s="723">
        <v>2020</v>
      </c>
      <c r="F32" s="724"/>
      <c r="G32" s="725"/>
      <c r="H32" s="723">
        <v>2020</v>
      </c>
      <c r="I32" s="724"/>
      <c r="J32" s="725"/>
      <c r="K32" s="723">
        <v>2015</v>
      </c>
      <c r="L32" s="724"/>
      <c r="M32" s="725"/>
      <c r="N32" s="723">
        <v>2021</v>
      </c>
      <c r="O32" s="724"/>
      <c r="P32" s="725"/>
      <c r="Q32" s="723">
        <v>2003</v>
      </c>
      <c r="R32" s="724"/>
      <c r="S32" s="725"/>
      <c r="T32" s="723">
        <v>2009</v>
      </c>
      <c r="U32" s="724"/>
      <c r="V32" s="725"/>
      <c r="W32" s="732">
        <v>2018</v>
      </c>
      <c r="X32" s="733"/>
      <c r="Y32" s="734"/>
      <c r="Z32" s="732">
        <v>2007</v>
      </c>
      <c r="AA32" s="733"/>
      <c r="AB32" s="734"/>
      <c r="AC32" s="723">
        <v>2008</v>
      </c>
      <c r="AD32" s="724"/>
      <c r="AE32" s="725"/>
      <c r="AF32" s="723">
        <v>2009</v>
      </c>
      <c r="AG32" s="724"/>
      <c r="AH32" s="725"/>
      <c r="AI32" s="723">
        <v>2022</v>
      </c>
      <c r="AJ32" s="724"/>
      <c r="AK32" s="725"/>
      <c r="AL32" s="723">
        <v>2007</v>
      </c>
      <c r="AM32" s="724"/>
      <c r="AN32" s="725"/>
      <c r="AO32" s="723">
        <v>2006</v>
      </c>
      <c r="AP32" s="724"/>
      <c r="AQ32" s="725"/>
      <c r="AR32" s="723">
        <v>2018</v>
      </c>
      <c r="AS32" s="724"/>
      <c r="AT32" s="725"/>
      <c r="AU32" s="723">
        <v>2017</v>
      </c>
      <c r="AV32" s="724"/>
      <c r="AW32" s="725"/>
      <c r="AX32" s="723">
        <v>2017</v>
      </c>
      <c r="AY32" s="724"/>
      <c r="AZ32" s="725"/>
    </row>
    <row r="33" spans="1:52" ht="15.6" hidden="1" x14ac:dyDescent="0.3">
      <c r="A33" s="19" t="s">
        <v>45</v>
      </c>
      <c r="B33" s="714"/>
      <c r="C33" s="715"/>
      <c r="D33" s="716"/>
      <c r="E33" s="714"/>
      <c r="F33" s="715"/>
      <c r="G33" s="716"/>
      <c r="H33" s="717"/>
      <c r="I33" s="718"/>
      <c r="J33" s="719"/>
      <c r="K33" s="714"/>
      <c r="L33" s="715"/>
      <c r="M33" s="716"/>
      <c r="N33" s="717"/>
      <c r="O33" s="718"/>
      <c r="P33" s="719"/>
      <c r="Q33" s="720"/>
      <c r="R33" s="721"/>
      <c r="S33" s="722"/>
      <c r="T33" s="714"/>
      <c r="U33" s="715"/>
      <c r="V33" s="716"/>
      <c r="W33" s="714"/>
      <c r="X33" s="715"/>
      <c r="Y33" s="716"/>
      <c r="Z33" s="714"/>
      <c r="AA33" s="715"/>
      <c r="AB33" s="716"/>
      <c r="AC33" s="714"/>
      <c r="AD33" s="715"/>
      <c r="AE33" s="716"/>
      <c r="AF33" s="714"/>
      <c r="AG33" s="715"/>
      <c r="AH33" s="716"/>
      <c r="AI33" s="714"/>
      <c r="AJ33" s="715"/>
      <c r="AK33" s="716"/>
      <c r="AL33" s="714"/>
      <c r="AM33" s="715"/>
      <c r="AN33" s="716"/>
      <c r="AO33" s="714"/>
      <c r="AP33" s="715"/>
      <c r="AQ33" s="716"/>
      <c r="AR33" s="717"/>
      <c r="AS33" s="718"/>
      <c r="AT33" s="719"/>
      <c r="AU33" s="714"/>
      <c r="AV33" s="715"/>
      <c r="AW33" s="716"/>
      <c r="AX33" s="714"/>
      <c r="AY33" s="715"/>
      <c r="AZ33" s="716"/>
    </row>
    <row r="34" spans="1:52" hidden="1" x14ac:dyDescent="0.3">
      <c r="A34" s="23"/>
      <c r="B34" s="233"/>
      <c r="C34" s="274"/>
      <c r="D34" s="275"/>
      <c r="E34" s="286"/>
      <c r="F34" s="274"/>
      <c r="G34" s="275"/>
      <c r="H34" s="274"/>
      <c r="I34" s="274"/>
      <c r="J34" s="274"/>
      <c r="K34" s="286"/>
      <c r="L34" s="274"/>
      <c r="M34" s="275"/>
      <c r="N34" s="274"/>
      <c r="O34" s="274"/>
      <c r="P34" s="275"/>
      <c r="Q34" s="504"/>
      <c r="R34" s="494"/>
      <c r="S34" s="495"/>
      <c r="T34" s="286"/>
      <c r="U34" s="274"/>
      <c r="V34" s="275"/>
      <c r="W34" s="234"/>
      <c r="X34" s="216"/>
      <c r="Y34" s="217"/>
      <c r="Z34" s="234"/>
      <c r="AA34" s="216"/>
      <c r="AB34" s="217"/>
      <c r="AC34" s="286"/>
      <c r="AD34" s="274"/>
      <c r="AE34" s="275"/>
      <c r="AF34" s="286"/>
      <c r="AG34" s="274"/>
      <c r="AH34" s="275"/>
      <c r="AI34" s="286"/>
      <c r="AJ34" s="274"/>
      <c r="AK34" s="275"/>
      <c r="AL34" s="286"/>
      <c r="AM34" s="274"/>
      <c r="AN34" s="275"/>
      <c r="AO34" s="286"/>
      <c r="AP34" s="274"/>
      <c r="AQ34" s="275"/>
      <c r="AR34" s="286"/>
      <c r="AS34" s="274"/>
      <c r="AT34" s="275"/>
      <c r="AU34" s="286"/>
      <c r="AV34" s="274"/>
      <c r="AW34" s="275"/>
      <c r="AX34" s="286"/>
      <c r="AY34" s="274"/>
      <c r="AZ34" s="275"/>
    </row>
    <row r="35" spans="1:52" hidden="1" x14ac:dyDescent="0.3">
      <c r="A35" s="64" t="s">
        <v>46</v>
      </c>
      <c r="B35" s="235"/>
      <c r="C35" s="172"/>
      <c r="D35" s="277"/>
      <c r="E35" s="287"/>
      <c r="F35" s="172"/>
      <c r="G35" s="277"/>
      <c r="H35" s="172"/>
      <c r="I35" s="172"/>
      <c r="J35" s="172"/>
      <c r="K35" s="287"/>
      <c r="L35" s="172"/>
      <c r="M35" s="277"/>
      <c r="N35" s="172"/>
      <c r="O35" s="172"/>
      <c r="P35" s="277"/>
      <c r="Q35" s="505"/>
      <c r="R35" s="497"/>
      <c r="S35" s="498"/>
      <c r="T35" s="287"/>
      <c r="U35" s="172"/>
      <c r="V35" s="277"/>
      <c r="W35" s="226"/>
      <c r="X35" s="36"/>
      <c r="Y35" s="214"/>
      <c r="Z35" s="226"/>
      <c r="AA35" s="36"/>
      <c r="AB35" s="214"/>
      <c r="AC35" s="287"/>
      <c r="AD35" s="172"/>
      <c r="AE35" s="277"/>
      <c r="AF35" s="287"/>
      <c r="AG35" s="172"/>
      <c r="AH35" s="277"/>
      <c r="AI35" s="287"/>
      <c r="AJ35" s="172"/>
      <c r="AK35" s="277"/>
      <c r="AL35" s="287"/>
      <c r="AM35" s="172"/>
      <c r="AN35" s="277"/>
      <c r="AO35" s="287"/>
      <c r="AP35" s="172"/>
      <c r="AQ35" s="277"/>
      <c r="AR35" s="287"/>
      <c r="AS35" s="172"/>
      <c r="AT35" s="277"/>
      <c r="AU35" s="287"/>
      <c r="AV35" s="172"/>
      <c r="AW35" s="277"/>
      <c r="AX35" s="287"/>
      <c r="AY35" s="172"/>
      <c r="AZ35" s="277"/>
    </row>
    <row r="36" spans="1:52" hidden="1" x14ac:dyDescent="0.3">
      <c r="A36" s="26" t="s">
        <v>47</v>
      </c>
      <c r="B36" s="235"/>
      <c r="C36" s="172"/>
      <c r="D36" s="277"/>
      <c r="E36" s="287"/>
      <c r="F36" s="172"/>
      <c r="G36" s="277"/>
      <c r="H36" s="172"/>
      <c r="I36" s="172"/>
      <c r="J36" s="172"/>
      <c r="K36" s="287"/>
      <c r="L36" s="172"/>
      <c r="M36" s="277"/>
      <c r="N36" s="172"/>
      <c r="O36" s="172"/>
      <c r="P36" s="277"/>
      <c r="Q36" s="505"/>
      <c r="R36" s="497"/>
      <c r="S36" s="498"/>
      <c r="T36" s="287"/>
      <c r="U36" s="172"/>
      <c r="V36" s="277"/>
      <c r="W36" s="226"/>
      <c r="X36" s="36"/>
      <c r="Y36" s="214"/>
      <c r="Z36" s="226"/>
      <c r="AA36" s="36"/>
      <c r="AB36" s="214"/>
      <c r="AC36" s="287"/>
      <c r="AD36" s="172"/>
      <c r="AE36" s="277"/>
      <c r="AF36" s="287"/>
      <c r="AG36" s="172"/>
      <c r="AH36" s="277"/>
      <c r="AI36" s="287"/>
      <c r="AJ36" s="172"/>
      <c r="AK36" s="277"/>
      <c r="AL36" s="287"/>
      <c r="AM36" s="172"/>
      <c r="AN36" s="277"/>
      <c r="AO36" s="287"/>
      <c r="AP36" s="172"/>
      <c r="AQ36" s="277"/>
      <c r="AR36" s="287"/>
      <c r="AS36" s="172"/>
      <c r="AT36" s="277"/>
      <c r="AU36" s="287"/>
      <c r="AV36" s="172"/>
      <c r="AW36" s="277"/>
      <c r="AX36" s="287"/>
      <c r="AY36" s="172"/>
      <c r="AZ36" s="277"/>
    </row>
    <row r="37" spans="1:52" hidden="1" x14ac:dyDescent="0.3">
      <c r="A37" s="26" t="s">
        <v>48</v>
      </c>
      <c r="B37" s="235"/>
      <c r="C37" s="172"/>
      <c r="D37" s="277"/>
      <c r="E37" s="287"/>
      <c r="F37" s="172"/>
      <c r="G37" s="277"/>
      <c r="H37" s="172"/>
      <c r="I37" s="172"/>
      <c r="J37" s="172"/>
      <c r="K37" s="287"/>
      <c r="L37" s="172"/>
      <c r="M37" s="277"/>
      <c r="N37" s="172"/>
      <c r="O37" s="172"/>
      <c r="P37" s="277"/>
      <c r="Q37" s="505"/>
      <c r="R37" s="497"/>
      <c r="S37" s="498"/>
      <c r="T37" s="287"/>
      <c r="U37" s="172"/>
      <c r="V37" s="277"/>
      <c r="W37" s="226"/>
      <c r="X37" s="36"/>
      <c r="Y37" s="214"/>
      <c r="Z37" s="226"/>
      <c r="AA37" s="36"/>
      <c r="AB37" s="214"/>
      <c r="AC37" s="287"/>
      <c r="AD37" s="172"/>
      <c r="AE37" s="277"/>
      <c r="AF37" s="287"/>
      <c r="AG37" s="172"/>
      <c r="AH37" s="277"/>
      <c r="AI37" s="287"/>
      <c r="AJ37" s="172"/>
      <c r="AK37" s="277"/>
      <c r="AL37" s="287"/>
      <c r="AM37" s="172"/>
      <c r="AN37" s="277"/>
      <c r="AO37" s="287"/>
      <c r="AP37" s="172"/>
      <c r="AQ37" s="277"/>
      <c r="AR37" s="287"/>
      <c r="AS37" s="172"/>
      <c r="AT37" s="277"/>
      <c r="AU37" s="287"/>
      <c r="AV37" s="172"/>
      <c r="AW37" s="277"/>
      <c r="AX37" s="287"/>
      <c r="AY37" s="172"/>
      <c r="AZ37" s="277"/>
    </row>
    <row r="38" spans="1:52" hidden="1" x14ac:dyDescent="0.3">
      <c r="A38" s="26" t="s">
        <v>49</v>
      </c>
      <c r="B38" s="68" t="s">
        <v>50</v>
      </c>
      <c r="C38" s="95">
        <v>2.4</v>
      </c>
      <c r="D38" s="70" t="s">
        <v>51</v>
      </c>
      <c r="E38" s="68" t="s">
        <v>50</v>
      </c>
      <c r="F38" s="95">
        <v>2</v>
      </c>
      <c r="G38" s="70" t="s">
        <v>51</v>
      </c>
      <c r="H38" s="68" t="s">
        <v>50</v>
      </c>
      <c r="I38" s="626">
        <v>2.2000000000000002</v>
      </c>
      <c r="J38" s="70" t="s">
        <v>51</v>
      </c>
      <c r="K38" s="68" t="s">
        <v>50</v>
      </c>
      <c r="L38" s="69">
        <v>2.8</v>
      </c>
      <c r="M38" s="70" t="s">
        <v>51</v>
      </c>
      <c r="N38" s="68" t="s">
        <v>50</v>
      </c>
      <c r="O38" s="626">
        <v>3</v>
      </c>
      <c r="P38" s="70" t="s">
        <v>51</v>
      </c>
      <c r="Q38" s="68" t="s">
        <v>50</v>
      </c>
      <c r="R38" s="506">
        <v>2.8</v>
      </c>
      <c r="S38" s="507" t="s">
        <v>51</v>
      </c>
      <c r="T38" s="68" t="s">
        <v>50</v>
      </c>
      <c r="U38" s="95">
        <v>3</v>
      </c>
      <c r="V38" s="70" t="s">
        <v>51</v>
      </c>
      <c r="W38" s="68" t="s">
        <v>50</v>
      </c>
      <c r="X38" s="626">
        <v>2.2999999999999998</v>
      </c>
      <c r="Y38" s="70" t="s">
        <v>51</v>
      </c>
      <c r="Z38" s="68" t="s">
        <v>50</v>
      </c>
      <c r="AA38" s="95">
        <v>2.4</v>
      </c>
      <c r="AB38" s="70" t="s">
        <v>51</v>
      </c>
      <c r="AC38" s="68" t="s">
        <v>50</v>
      </c>
      <c r="AD38" s="95">
        <v>3.1</v>
      </c>
      <c r="AE38" s="70" t="s">
        <v>51</v>
      </c>
      <c r="AF38" s="68" t="s">
        <v>50</v>
      </c>
      <c r="AG38" s="69">
        <v>2.8</v>
      </c>
      <c r="AH38" s="70" t="s">
        <v>51</v>
      </c>
      <c r="AI38" s="68" t="s">
        <v>50</v>
      </c>
      <c r="AJ38" s="626">
        <v>2.2999999999999998</v>
      </c>
      <c r="AK38" s="70" t="s">
        <v>51</v>
      </c>
      <c r="AL38" s="68" t="s">
        <v>50</v>
      </c>
      <c r="AM38" s="95">
        <v>2.2000000000000002</v>
      </c>
      <c r="AN38" s="70" t="s">
        <v>51</v>
      </c>
      <c r="AO38" s="68" t="s">
        <v>50</v>
      </c>
      <c r="AP38" s="95">
        <v>2</v>
      </c>
      <c r="AQ38" s="70" t="s">
        <v>51</v>
      </c>
      <c r="AR38" s="68" t="s">
        <v>50</v>
      </c>
      <c r="AS38" s="626">
        <v>2</v>
      </c>
      <c r="AT38" s="70" t="s">
        <v>51</v>
      </c>
      <c r="AU38" s="68" t="s">
        <v>50</v>
      </c>
      <c r="AV38" s="95">
        <v>3.7</v>
      </c>
      <c r="AW38" s="70" t="s">
        <v>51</v>
      </c>
      <c r="AX38" s="68" t="s">
        <v>50</v>
      </c>
      <c r="AY38" s="95">
        <v>3.2</v>
      </c>
      <c r="AZ38" s="70" t="s">
        <v>51</v>
      </c>
    </row>
    <row r="39" spans="1:52" hidden="1" x14ac:dyDescent="0.3">
      <c r="A39" s="525"/>
      <c r="B39" s="531" t="s">
        <v>50</v>
      </c>
      <c r="C39" s="273">
        <v>2</v>
      </c>
      <c r="D39" s="527" t="s">
        <v>51</v>
      </c>
      <c r="E39" s="531" t="s">
        <v>50</v>
      </c>
      <c r="F39" s="273">
        <v>1.7</v>
      </c>
      <c r="G39" s="527" t="s">
        <v>51</v>
      </c>
      <c r="H39" s="531" t="s">
        <v>50</v>
      </c>
      <c r="I39" s="627">
        <v>1.8</v>
      </c>
      <c r="J39" s="527" t="s">
        <v>51</v>
      </c>
      <c r="K39" s="531" t="s">
        <v>50</v>
      </c>
      <c r="L39" s="273">
        <v>2.2999999999999998</v>
      </c>
      <c r="M39" s="527" t="s">
        <v>51</v>
      </c>
      <c r="N39" s="531" t="s">
        <v>50</v>
      </c>
      <c r="O39" s="627">
        <v>2.5</v>
      </c>
      <c r="P39" s="527" t="s">
        <v>51</v>
      </c>
      <c r="Q39" s="531" t="s">
        <v>50</v>
      </c>
      <c r="R39" s="273">
        <v>2.2999999999999998</v>
      </c>
      <c r="S39" s="527" t="s">
        <v>51</v>
      </c>
      <c r="T39" s="531" t="s">
        <v>50</v>
      </c>
      <c r="U39" s="273">
        <v>2.8</v>
      </c>
      <c r="V39" s="527" t="s">
        <v>51</v>
      </c>
      <c r="W39" s="531" t="s">
        <v>50</v>
      </c>
      <c r="X39" s="627">
        <v>1.8</v>
      </c>
      <c r="Y39" s="527" t="s">
        <v>51</v>
      </c>
      <c r="Z39" s="531" t="s">
        <v>50</v>
      </c>
      <c r="AA39" s="273">
        <v>2</v>
      </c>
      <c r="AB39" s="527" t="s">
        <v>51</v>
      </c>
      <c r="AC39" s="531" t="s">
        <v>50</v>
      </c>
      <c r="AD39" s="273">
        <v>2.6</v>
      </c>
      <c r="AE39" s="527" t="s">
        <v>51</v>
      </c>
      <c r="AF39" s="531" t="s">
        <v>50</v>
      </c>
      <c r="AG39" s="273">
        <v>2.4</v>
      </c>
      <c r="AH39" s="527" t="s">
        <v>51</v>
      </c>
      <c r="AI39" s="531" t="s">
        <v>50</v>
      </c>
      <c r="AJ39" s="627">
        <v>1.8</v>
      </c>
      <c r="AK39" s="527" t="s">
        <v>51</v>
      </c>
      <c r="AL39" s="531" t="s">
        <v>50</v>
      </c>
      <c r="AM39" s="273">
        <v>1.6</v>
      </c>
      <c r="AN39" s="527" t="s">
        <v>51</v>
      </c>
      <c r="AO39" s="531" t="s">
        <v>50</v>
      </c>
      <c r="AP39" s="273">
        <v>1.4</v>
      </c>
      <c r="AQ39" s="527" t="s">
        <v>51</v>
      </c>
      <c r="AR39" s="531" t="s">
        <v>50</v>
      </c>
      <c r="AS39" s="627">
        <v>1.5</v>
      </c>
      <c r="AT39" s="527" t="s">
        <v>51</v>
      </c>
      <c r="AU39" s="531" t="s">
        <v>50</v>
      </c>
      <c r="AV39" s="273">
        <v>3.3</v>
      </c>
      <c r="AW39" s="527" t="s">
        <v>51</v>
      </c>
      <c r="AX39" s="531" t="s">
        <v>50</v>
      </c>
      <c r="AY39" s="273">
        <v>2.4</v>
      </c>
      <c r="AZ39" s="527" t="s">
        <v>51</v>
      </c>
    </row>
    <row r="40" spans="1:52" hidden="1" x14ac:dyDescent="0.3">
      <c r="A40" s="23"/>
      <c r="B40" s="233"/>
      <c r="C40" s="274"/>
      <c r="D40" s="275"/>
      <c r="E40" s="286"/>
      <c r="F40" s="274"/>
      <c r="G40" s="275"/>
      <c r="H40" s="274"/>
      <c r="I40" s="274"/>
      <c r="J40" s="274"/>
      <c r="K40" s="286"/>
      <c r="L40" s="274"/>
      <c r="M40" s="275"/>
      <c r="N40" s="274"/>
      <c r="O40" s="274"/>
      <c r="P40" s="275"/>
      <c r="Q40" s="504"/>
      <c r="R40" s="494"/>
      <c r="S40" s="495"/>
      <c r="T40" s="286"/>
      <c r="U40" s="274"/>
      <c r="V40" s="275"/>
      <c r="W40" s="234"/>
      <c r="X40" s="216"/>
      <c r="Y40" s="217"/>
      <c r="Z40" s="234"/>
      <c r="AA40" s="216"/>
      <c r="AB40" s="217"/>
      <c r="AC40" s="286"/>
      <c r="AD40" s="274"/>
      <c r="AE40" s="275"/>
      <c r="AF40" s="286"/>
      <c r="AG40" s="274"/>
      <c r="AH40" s="275"/>
      <c r="AI40" s="286"/>
      <c r="AJ40" s="274"/>
      <c r="AK40" s="275"/>
      <c r="AL40" s="286"/>
      <c r="AM40" s="274"/>
      <c r="AN40" s="275"/>
      <c r="AO40" s="286"/>
      <c r="AP40" s="274"/>
      <c r="AQ40" s="275"/>
      <c r="AR40" s="286"/>
      <c r="AS40" s="274"/>
      <c r="AT40" s="275"/>
      <c r="AU40" s="286"/>
      <c r="AV40" s="274"/>
      <c r="AW40" s="275"/>
      <c r="AX40" s="286"/>
      <c r="AY40" s="274"/>
      <c r="AZ40" s="275"/>
    </row>
    <row r="41" spans="1:52" hidden="1" x14ac:dyDescent="0.3">
      <c r="A41" s="64" t="s">
        <v>52</v>
      </c>
      <c r="B41" s="235"/>
      <c r="C41" s="172"/>
      <c r="D41" s="277"/>
      <c r="E41" s="287"/>
      <c r="F41" s="172"/>
      <c r="G41" s="277"/>
      <c r="H41" s="172"/>
      <c r="I41" s="172"/>
      <c r="J41" s="172"/>
      <c r="K41" s="287"/>
      <c r="L41" s="172"/>
      <c r="M41" s="277"/>
      <c r="N41" s="172"/>
      <c r="O41" s="172"/>
      <c r="P41" s="277"/>
      <c r="Q41" s="505"/>
      <c r="R41" s="497"/>
      <c r="S41" s="498"/>
      <c r="T41" s="287"/>
      <c r="U41" s="172"/>
      <c r="V41" s="277"/>
      <c r="W41" s="226"/>
      <c r="X41" s="36"/>
      <c r="Y41" s="214"/>
      <c r="Z41" s="226"/>
      <c r="AA41" s="36"/>
      <c r="AB41" s="214"/>
      <c r="AC41" s="287"/>
      <c r="AD41" s="172"/>
      <c r="AE41" s="277"/>
      <c r="AF41" s="287"/>
      <c r="AG41" s="172"/>
      <c r="AH41" s="277"/>
      <c r="AI41" s="287"/>
      <c r="AJ41" s="172"/>
      <c r="AK41" s="277"/>
      <c r="AL41" s="287"/>
      <c r="AM41" s="172"/>
      <c r="AN41" s="277"/>
      <c r="AO41" s="287"/>
      <c r="AP41" s="172"/>
      <c r="AQ41" s="277"/>
      <c r="AR41" s="287"/>
      <c r="AS41" s="172"/>
      <c r="AT41" s="277"/>
      <c r="AU41" s="287"/>
      <c r="AV41" s="172"/>
      <c r="AW41" s="277"/>
      <c r="AX41" s="287"/>
      <c r="AY41" s="172"/>
      <c r="AZ41" s="277"/>
    </row>
    <row r="42" spans="1:52" hidden="1" x14ac:dyDescent="0.3">
      <c r="A42" s="26" t="s">
        <v>53</v>
      </c>
      <c r="B42" s="235"/>
      <c r="C42" s="524" t="e">
        <f>#REF!</f>
        <v>#REF!</v>
      </c>
      <c r="D42" s="277"/>
      <c r="E42" s="287"/>
      <c r="F42" s="524" t="e">
        <f>#REF!</f>
        <v>#REF!</v>
      </c>
      <c r="G42" s="277"/>
      <c r="H42" s="172"/>
      <c r="I42" s="172"/>
      <c r="J42" s="172"/>
      <c r="K42" s="287"/>
      <c r="L42" s="524" t="e">
        <f>#REF!</f>
        <v>#REF!</v>
      </c>
      <c r="M42" s="277"/>
      <c r="N42" s="172"/>
      <c r="O42" s="172"/>
      <c r="P42" s="277"/>
      <c r="Q42" s="505"/>
      <c r="R42" s="524" t="e">
        <f>#REF!</f>
        <v>#REF!</v>
      </c>
      <c r="S42" s="498"/>
      <c r="T42" s="287"/>
      <c r="U42" s="524" t="e">
        <f>#REF!</f>
        <v>#REF!</v>
      </c>
      <c r="V42" s="277"/>
      <c r="W42" s="226"/>
      <c r="X42" s="524" t="e">
        <f>#REF!</f>
        <v>#REF!</v>
      </c>
      <c r="Y42" s="214"/>
      <c r="Z42" s="226"/>
      <c r="AA42" s="524" t="e">
        <f>#REF!</f>
        <v>#REF!</v>
      </c>
      <c r="AB42" s="214"/>
      <c r="AC42" s="287"/>
      <c r="AD42" s="524" t="e">
        <f>#REF!</f>
        <v>#REF!</v>
      </c>
      <c r="AE42" s="277"/>
      <c r="AF42" s="287"/>
      <c r="AG42" s="524" t="e">
        <f>#REF!</f>
        <v>#REF!</v>
      </c>
      <c r="AH42" s="277"/>
      <c r="AI42" s="287"/>
      <c r="AJ42" s="524" t="e">
        <f>#REF!</f>
        <v>#REF!</v>
      </c>
      <c r="AK42" s="277"/>
      <c r="AL42" s="287"/>
      <c r="AM42" s="524" t="e">
        <f>#REF!</f>
        <v>#REF!</v>
      </c>
      <c r="AN42" s="277"/>
      <c r="AO42" s="287"/>
      <c r="AP42" s="524" t="e">
        <f>#REF!</f>
        <v>#REF!</v>
      </c>
      <c r="AQ42" s="277"/>
      <c r="AR42" s="287"/>
      <c r="AS42" s="172"/>
      <c r="AT42" s="277"/>
      <c r="AU42" s="287"/>
      <c r="AV42" s="524" t="e">
        <f>#REF!</f>
        <v>#REF!</v>
      </c>
      <c r="AW42" s="277"/>
      <c r="AX42" s="287"/>
      <c r="AY42" s="524" t="e">
        <f>#REF!</f>
        <v>#REF!</v>
      </c>
      <c r="AZ42" s="277"/>
    </row>
    <row r="43" spans="1:52" hidden="1" x14ac:dyDescent="0.3">
      <c r="A43" s="82" t="s">
        <v>54</v>
      </c>
      <c r="B43" s="236" t="s">
        <v>55</v>
      </c>
      <c r="C43" s="523">
        <v>300</v>
      </c>
      <c r="D43" s="237" t="s">
        <v>56</v>
      </c>
      <c r="E43" s="236" t="s">
        <v>55</v>
      </c>
      <c r="F43" s="523">
        <v>275</v>
      </c>
      <c r="G43" s="237" t="s">
        <v>56</v>
      </c>
      <c r="H43" s="236" t="s">
        <v>55</v>
      </c>
      <c r="I43" s="640">
        <v>325</v>
      </c>
      <c r="J43" s="237" t="s">
        <v>56</v>
      </c>
      <c r="K43" s="236" t="s">
        <v>55</v>
      </c>
      <c r="L43" s="640">
        <v>300</v>
      </c>
      <c r="M43" s="237" t="s">
        <v>56</v>
      </c>
      <c r="N43" s="236" t="s">
        <v>55</v>
      </c>
      <c r="O43" s="640">
        <v>350</v>
      </c>
      <c r="P43" s="237" t="s">
        <v>56</v>
      </c>
      <c r="Q43" s="236" t="s">
        <v>55</v>
      </c>
      <c r="R43" s="640">
        <v>300</v>
      </c>
      <c r="S43" s="508" t="s">
        <v>56</v>
      </c>
      <c r="T43" s="236" t="s">
        <v>55</v>
      </c>
      <c r="U43" s="523">
        <v>450</v>
      </c>
      <c r="V43" s="237" t="s">
        <v>56</v>
      </c>
      <c r="W43" s="236" t="s">
        <v>55</v>
      </c>
      <c r="X43" s="523">
        <v>400</v>
      </c>
      <c r="Y43" s="237" t="s">
        <v>56</v>
      </c>
      <c r="Z43" s="236" t="s">
        <v>55</v>
      </c>
      <c r="AA43" s="523">
        <v>375</v>
      </c>
      <c r="AB43" s="237" t="s">
        <v>56</v>
      </c>
      <c r="AC43" s="236" t="s">
        <v>55</v>
      </c>
      <c r="AD43" s="523">
        <v>350</v>
      </c>
      <c r="AE43" s="237" t="s">
        <v>56</v>
      </c>
      <c r="AF43" s="236" t="s">
        <v>55</v>
      </c>
      <c r="AG43" s="523">
        <v>475</v>
      </c>
      <c r="AH43" s="237" t="s">
        <v>56</v>
      </c>
      <c r="AI43" s="236" t="s">
        <v>55</v>
      </c>
      <c r="AJ43" s="523">
        <v>500</v>
      </c>
      <c r="AK43" s="237" t="s">
        <v>56</v>
      </c>
      <c r="AL43" s="236" t="s">
        <v>55</v>
      </c>
      <c r="AM43" s="523">
        <v>475</v>
      </c>
      <c r="AN43" s="237" t="s">
        <v>56</v>
      </c>
      <c r="AO43" s="236" t="s">
        <v>55</v>
      </c>
      <c r="AP43" s="523">
        <v>375</v>
      </c>
      <c r="AQ43" s="237" t="s">
        <v>56</v>
      </c>
      <c r="AR43" s="236" t="s">
        <v>55</v>
      </c>
      <c r="AS43" s="640">
        <v>375</v>
      </c>
      <c r="AT43" s="237" t="s">
        <v>56</v>
      </c>
      <c r="AU43" s="236" t="s">
        <v>55</v>
      </c>
      <c r="AV43" s="523">
        <v>350</v>
      </c>
      <c r="AW43" s="237" t="s">
        <v>56</v>
      </c>
      <c r="AX43" s="236" t="s">
        <v>55</v>
      </c>
      <c r="AY43" s="523">
        <v>350</v>
      </c>
      <c r="AZ43" s="237" t="s">
        <v>56</v>
      </c>
    </row>
    <row r="44" spans="1:52" hidden="1" x14ac:dyDescent="0.3">
      <c r="A44" s="525"/>
      <c r="B44" s="531" t="s">
        <v>55</v>
      </c>
      <c r="C44" s="533">
        <v>350</v>
      </c>
      <c r="D44" s="527" t="s">
        <v>56</v>
      </c>
      <c r="E44" s="531" t="s">
        <v>55</v>
      </c>
      <c r="F44" s="533">
        <v>325</v>
      </c>
      <c r="G44" s="527" t="s">
        <v>56</v>
      </c>
      <c r="H44" s="531" t="s">
        <v>55</v>
      </c>
      <c r="I44" s="641">
        <v>375</v>
      </c>
      <c r="J44" s="527" t="s">
        <v>56</v>
      </c>
      <c r="K44" s="531" t="s">
        <v>55</v>
      </c>
      <c r="L44" s="641">
        <v>350</v>
      </c>
      <c r="M44" s="527" t="s">
        <v>56</v>
      </c>
      <c r="N44" s="531" t="s">
        <v>55</v>
      </c>
      <c r="O44" s="641">
        <v>400</v>
      </c>
      <c r="P44" s="527" t="s">
        <v>56</v>
      </c>
      <c r="Q44" s="531"/>
      <c r="R44" s="641">
        <v>350</v>
      </c>
      <c r="S44" s="527" t="s">
        <v>56</v>
      </c>
      <c r="T44" s="531"/>
      <c r="U44" s="533">
        <v>500</v>
      </c>
      <c r="V44" s="527" t="s">
        <v>56</v>
      </c>
      <c r="W44" s="531"/>
      <c r="X44" s="533">
        <v>500</v>
      </c>
      <c r="Y44" s="527" t="s">
        <v>56</v>
      </c>
      <c r="Z44" s="531"/>
      <c r="AA44" s="533">
        <v>425</v>
      </c>
      <c r="AB44" s="527" t="s">
        <v>56</v>
      </c>
      <c r="AC44" s="531"/>
      <c r="AD44" s="533">
        <v>400</v>
      </c>
      <c r="AE44" s="527" t="s">
        <v>56</v>
      </c>
      <c r="AF44" s="531"/>
      <c r="AG44" s="533">
        <v>550</v>
      </c>
      <c r="AH44" s="527" t="s">
        <v>56</v>
      </c>
      <c r="AI44" s="531"/>
      <c r="AJ44" s="533">
        <v>575</v>
      </c>
      <c r="AK44" s="527" t="s">
        <v>56</v>
      </c>
      <c r="AL44" s="531" t="s">
        <v>55</v>
      </c>
      <c r="AM44" s="533">
        <v>525</v>
      </c>
      <c r="AN44" s="527" t="s">
        <v>56</v>
      </c>
      <c r="AO44" s="531" t="s">
        <v>55</v>
      </c>
      <c r="AP44" s="533">
        <v>425</v>
      </c>
      <c r="AQ44" s="527" t="s">
        <v>56</v>
      </c>
      <c r="AR44" s="531" t="s">
        <v>55</v>
      </c>
      <c r="AS44" s="641">
        <v>425</v>
      </c>
      <c r="AT44" s="527" t="s">
        <v>56</v>
      </c>
      <c r="AU44" s="531"/>
      <c r="AV44" s="533">
        <v>400</v>
      </c>
      <c r="AW44" s="527" t="s">
        <v>56</v>
      </c>
      <c r="AX44" s="531"/>
      <c r="AY44" s="533">
        <v>400</v>
      </c>
      <c r="AZ44" s="527" t="s">
        <v>56</v>
      </c>
    </row>
    <row r="45" spans="1:52" hidden="1" x14ac:dyDescent="0.3">
      <c r="A45" s="26" t="s">
        <v>57</v>
      </c>
      <c r="B45" s="68" t="s">
        <v>50</v>
      </c>
      <c r="C45" s="626">
        <v>5.5</v>
      </c>
      <c r="D45" s="70" t="s">
        <v>56</v>
      </c>
      <c r="E45" s="68" t="s">
        <v>50</v>
      </c>
      <c r="F45" s="626">
        <v>4.5</v>
      </c>
      <c r="G45" s="70" t="s">
        <v>56</v>
      </c>
      <c r="H45" s="68" t="s">
        <v>50</v>
      </c>
      <c r="I45" s="626">
        <v>7</v>
      </c>
      <c r="J45" s="70" t="s">
        <v>56</v>
      </c>
      <c r="K45" s="68" t="s">
        <v>50</v>
      </c>
      <c r="L45" s="95">
        <v>6.8</v>
      </c>
      <c r="M45" s="70" t="s">
        <v>56</v>
      </c>
      <c r="N45" s="68" t="s">
        <v>50</v>
      </c>
      <c r="O45" s="626">
        <v>7.5</v>
      </c>
      <c r="P45" s="70" t="s">
        <v>56</v>
      </c>
      <c r="Q45" s="68" t="s">
        <v>50</v>
      </c>
      <c r="R45" s="643">
        <v>6.5</v>
      </c>
      <c r="S45" s="507" t="s">
        <v>56</v>
      </c>
      <c r="T45" s="68" t="s">
        <v>50</v>
      </c>
      <c r="U45" s="95">
        <v>14.5</v>
      </c>
      <c r="V45" s="70" t="s">
        <v>56</v>
      </c>
      <c r="W45" s="68" t="s">
        <v>50</v>
      </c>
      <c r="X45" s="95">
        <v>9</v>
      </c>
      <c r="Y45" s="70" t="s">
        <v>56</v>
      </c>
      <c r="Z45" s="68" t="s">
        <v>50</v>
      </c>
      <c r="AA45" s="69">
        <v>7.2</v>
      </c>
      <c r="AB45" s="70" t="s">
        <v>56</v>
      </c>
      <c r="AC45" s="68" t="s">
        <v>50</v>
      </c>
      <c r="AD45" s="95">
        <v>7.6</v>
      </c>
      <c r="AE45" s="70" t="s">
        <v>56</v>
      </c>
      <c r="AF45" s="68" t="s">
        <v>50</v>
      </c>
      <c r="AG45" s="95">
        <v>15.5</v>
      </c>
      <c r="AH45" s="70" t="s">
        <v>56</v>
      </c>
      <c r="AI45" s="68" t="s">
        <v>50</v>
      </c>
      <c r="AJ45" s="626">
        <v>12</v>
      </c>
      <c r="AK45" s="70" t="s">
        <v>56</v>
      </c>
      <c r="AL45" s="68" t="s">
        <v>50</v>
      </c>
      <c r="AM45" s="69">
        <v>11.8</v>
      </c>
      <c r="AN45" s="70" t="s">
        <v>56</v>
      </c>
      <c r="AO45" s="68" t="s">
        <v>50</v>
      </c>
      <c r="AP45" s="95">
        <v>9.1999999999999993</v>
      </c>
      <c r="AQ45" s="70" t="s">
        <v>56</v>
      </c>
      <c r="AR45" s="68" t="s">
        <v>50</v>
      </c>
      <c r="AS45" s="626">
        <v>10</v>
      </c>
      <c r="AT45" s="70" t="s">
        <v>56</v>
      </c>
      <c r="AU45" s="68" t="s">
        <v>50</v>
      </c>
      <c r="AV45" s="95">
        <v>13.5</v>
      </c>
      <c r="AW45" s="70" t="s">
        <v>56</v>
      </c>
      <c r="AX45" s="68" t="s">
        <v>50</v>
      </c>
      <c r="AY45" s="95">
        <v>11.7</v>
      </c>
      <c r="AZ45" s="70" t="s">
        <v>56</v>
      </c>
    </row>
    <row r="46" spans="1:52" hidden="1" x14ac:dyDescent="0.3">
      <c r="A46" s="525"/>
      <c r="B46" s="531" t="s">
        <v>50</v>
      </c>
      <c r="C46" s="627">
        <v>5</v>
      </c>
      <c r="D46" s="527" t="s">
        <v>56</v>
      </c>
      <c r="E46" s="531" t="s">
        <v>50</v>
      </c>
      <c r="F46" s="627">
        <v>4</v>
      </c>
      <c r="G46" s="527" t="s">
        <v>56</v>
      </c>
      <c r="H46" s="531" t="s">
        <v>50</v>
      </c>
      <c r="I46" s="627">
        <v>5.5</v>
      </c>
      <c r="J46" s="527" t="s">
        <v>56</v>
      </c>
      <c r="K46" s="531" t="s">
        <v>50</v>
      </c>
      <c r="L46" s="273">
        <v>5.6</v>
      </c>
      <c r="M46" s="527" t="s">
        <v>56</v>
      </c>
      <c r="N46" s="531" t="s">
        <v>50</v>
      </c>
      <c r="O46" s="627">
        <v>6</v>
      </c>
      <c r="P46" s="527" t="s">
        <v>56</v>
      </c>
      <c r="Q46" s="531" t="s">
        <v>50</v>
      </c>
      <c r="R46" s="627">
        <v>5.5</v>
      </c>
      <c r="S46" s="527" t="s">
        <v>56</v>
      </c>
      <c r="T46" s="531" t="s">
        <v>50</v>
      </c>
      <c r="U46" s="273">
        <v>11.5</v>
      </c>
      <c r="V46" s="527" t="s">
        <v>56</v>
      </c>
      <c r="W46" s="531" t="s">
        <v>50</v>
      </c>
      <c r="X46" s="273">
        <v>8</v>
      </c>
      <c r="Y46" s="527" t="s">
        <v>56</v>
      </c>
      <c r="Z46" s="531" t="s">
        <v>50</v>
      </c>
      <c r="AA46" s="273">
        <v>6</v>
      </c>
      <c r="AB46" s="527" t="s">
        <v>56</v>
      </c>
      <c r="AC46" s="531" t="s">
        <v>50</v>
      </c>
      <c r="AD46" s="273">
        <v>5.8</v>
      </c>
      <c r="AE46" s="527" t="s">
        <v>56</v>
      </c>
      <c r="AF46" s="531" t="s">
        <v>50</v>
      </c>
      <c r="AG46" s="273">
        <v>13.4</v>
      </c>
      <c r="AH46" s="527" t="s">
        <v>56</v>
      </c>
      <c r="AI46" s="531" t="s">
        <v>50</v>
      </c>
      <c r="AJ46" s="627">
        <v>10.5</v>
      </c>
      <c r="AK46" s="527" t="s">
        <v>56</v>
      </c>
      <c r="AL46" s="531" t="s">
        <v>50</v>
      </c>
      <c r="AM46" s="273">
        <v>9.8000000000000007</v>
      </c>
      <c r="AN46" s="527" t="s">
        <v>56</v>
      </c>
      <c r="AO46" s="531" t="s">
        <v>50</v>
      </c>
      <c r="AP46" s="273">
        <v>8.1</v>
      </c>
      <c r="AQ46" s="527" t="s">
        <v>56</v>
      </c>
      <c r="AR46" s="531" t="s">
        <v>50</v>
      </c>
      <c r="AS46" s="627">
        <v>8</v>
      </c>
      <c r="AT46" s="527" t="s">
        <v>56</v>
      </c>
      <c r="AU46" s="531" t="s">
        <v>50</v>
      </c>
      <c r="AV46" s="273">
        <v>13</v>
      </c>
      <c r="AW46" s="527" t="s">
        <v>56</v>
      </c>
      <c r="AX46" s="531" t="s">
        <v>50</v>
      </c>
      <c r="AY46" s="273">
        <v>9.1</v>
      </c>
      <c r="AZ46" s="527" t="s">
        <v>56</v>
      </c>
    </row>
    <row r="47" spans="1:52" hidden="1" x14ac:dyDescent="0.3">
      <c r="A47" s="82"/>
      <c r="B47" s="238"/>
      <c r="C47" s="288"/>
      <c r="D47" s="289"/>
      <c r="E47" s="290"/>
      <c r="F47" s="288"/>
      <c r="G47" s="289"/>
      <c r="H47" s="288"/>
      <c r="I47" s="288"/>
      <c r="J47" s="288"/>
      <c r="K47" s="290"/>
      <c r="L47" s="288"/>
      <c r="M47" s="289"/>
      <c r="N47" s="288"/>
      <c r="O47" s="288"/>
      <c r="P47" s="289"/>
      <c r="Q47" s="509"/>
      <c r="R47" s="510"/>
      <c r="S47" s="511"/>
      <c r="T47" s="290"/>
      <c r="U47" s="288"/>
      <c r="V47" s="289"/>
      <c r="W47" s="239"/>
      <c r="X47" s="240"/>
      <c r="Y47" s="241"/>
      <c r="Z47" s="239"/>
      <c r="AA47" s="240"/>
      <c r="AB47" s="241"/>
      <c r="AC47" s="290"/>
      <c r="AD47" s="288"/>
      <c r="AE47" s="289"/>
      <c r="AF47" s="290"/>
      <c r="AG47" s="288"/>
      <c r="AH47" s="289"/>
      <c r="AI47" s="290"/>
      <c r="AJ47" s="288"/>
      <c r="AK47" s="289"/>
      <c r="AL47" s="290"/>
      <c r="AM47" s="288"/>
      <c r="AN47" s="289"/>
      <c r="AO47" s="290"/>
      <c r="AP47" s="288"/>
      <c r="AQ47" s="289"/>
      <c r="AR47" s="290"/>
      <c r="AS47" s="288"/>
      <c r="AT47" s="289"/>
      <c r="AU47" s="290"/>
      <c r="AV47" s="288"/>
      <c r="AW47" s="289"/>
      <c r="AX47" s="290"/>
      <c r="AY47" s="288"/>
      <c r="AZ47" s="289"/>
    </row>
    <row r="48" spans="1:52" hidden="1" x14ac:dyDescent="0.3">
      <c r="A48" s="12"/>
      <c r="B48" s="231"/>
      <c r="C48" s="283"/>
      <c r="D48" s="284"/>
      <c r="E48" s="285"/>
      <c r="F48" s="283"/>
      <c r="G48" s="284"/>
      <c r="H48" s="283"/>
      <c r="I48" s="283"/>
      <c r="J48" s="283"/>
      <c r="K48" s="285"/>
      <c r="L48" s="283"/>
      <c r="M48" s="284"/>
      <c r="N48" s="283"/>
      <c r="O48" s="283"/>
      <c r="P48" s="284"/>
      <c r="Q48" s="285"/>
      <c r="R48" s="283"/>
      <c r="S48" s="299"/>
      <c r="T48" s="285"/>
      <c r="U48" s="283"/>
      <c r="V48" s="284"/>
      <c r="W48" s="232"/>
      <c r="X48" s="211"/>
      <c r="Y48" s="212"/>
      <c r="Z48" s="232"/>
      <c r="AA48" s="211"/>
      <c r="AB48" s="212"/>
      <c r="AC48" s="285"/>
      <c r="AD48" s="283"/>
      <c r="AE48" s="284"/>
      <c r="AF48" s="285"/>
      <c r="AG48" s="283"/>
      <c r="AH48" s="284"/>
      <c r="AI48" s="285"/>
      <c r="AJ48" s="283"/>
      <c r="AK48" s="284"/>
      <c r="AL48" s="285"/>
      <c r="AM48" s="283"/>
      <c r="AN48" s="284"/>
      <c r="AO48" s="285"/>
      <c r="AP48" s="283"/>
      <c r="AQ48" s="284"/>
      <c r="AR48" s="285"/>
      <c r="AS48" s="283"/>
      <c r="AT48" s="284"/>
      <c r="AU48" s="285"/>
      <c r="AV48" s="283"/>
      <c r="AW48" s="284"/>
      <c r="AX48" s="285"/>
      <c r="AY48" s="283"/>
      <c r="AZ48" s="284"/>
    </row>
    <row r="49" spans="1:52" ht="15.6" hidden="1" x14ac:dyDescent="0.3">
      <c r="A49" s="19" t="s">
        <v>58</v>
      </c>
      <c r="B49" s="213"/>
      <c r="C49" s="172"/>
      <c r="D49" s="277"/>
      <c r="E49" s="213"/>
      <c r="F49" s="172"/>
      <c r="G49" s="277"/>
      <c r="H49" s="172"/>
      <c r="I49" s="172"/>
      <c r="J49" s="172"/>
      <c r="K49" s="213"/>
      <c r="L49" s="172"/>
      <c r="M49" s="277"/>
      <c r="N49" s="172"/>
      <c r="O49" s="172"/>
      <c r="P49" s="277"/>
      <c r="Q49" s="492"/>
      <c r="R49" s="497"/>
      <c r="S49" s="498"/>
      <c r="T49" s="213"/>
      <c r="U49" s="172"/>
      <c r="V49" s="277"/>
      <c r="W49" s="213"/>
      <c r="X49" s="36"/>
      <c r="Y49" s="214"/>
      <c r="Z49" s="213"/>
      <c r="AA49" s="36"/>
      <c r="AB49" s="214"/>
      <c r="AC49" s="213"/>
      <c r="AD49" s="172"/>
      <c r="AE49" s="277"/>
      <c r="AF49" s="213"/>
      <c r="AG49" s="172"/>
      <c r="AH49" s="277"/>
      <c r="AI49" s="213"/>
      <c r="AJ49" s="172"/>
      <c r="AK49" s="277"/>
      <c r="AL49" s="213"/>
      <c r="AM49" s="172"/>
      <c r="AN49" s="277"/>
      <c r="AO49" s="213"/>
      <c r="AP49" s="172"/>
      <c r="AQ49" s="277"/>
      <c r="AR49" s="213"/>
      <c r="AS49" s="172"/>
      <c r="AT49" s="277"/>
      <c r="AU49" s="213"/>
      <c r="AV49" s="172"/>
      <c r="AW49" s="277"/>
      <c r="AX49" s="213"/>
      <c r="AY49" s="172"/>
      <c r="AZ49" s="277"/>
    </row>
    <row r="50" spans="1:52" hidden="1" x14ac:dyDescent="0.3">
      <c r="A50" s="23"/>
      <c r="B50" s="233"/>
      <c r="C50" s="274"/>
      <c r="D50" s="275"/>
      <c r="E50" s="286"/>
      <c r="F50" s="274"/>
      <c r="G50" s="275"/>
      <c r="H50" s="274"/>
      <c r="I50" s="274"/>
      <c r="J50" s="274"/>
      <c r="K50" s="286"/>
      <c r="L50" s="274"/>
      <c r="M50" s="275"/>
      <c r="N50" s="274"/>
      <c r="O50" s="274"/>
      <c r="P50" s="275"/>
      <c r="Q50" s="504"/>
      <c r="R50" s="494"/>
      <c r="S50" s="495"/>
      <c r="T50" s="286"/>
      <c r="U50" s="274"/>
      <c r="V50" s="275"/>
      <c r="W50" s="234"/>
      <c r="X50" s="216"/>
      <c r="Y50" s="217"/>
      <c r="Z50" s="234"/>
      <c r="AA50" s="216"/>
      <c r="AB50" s="217"/>
      <c r="AC50" s="286"/>
      <c r="AD50" s="274"/>
      <c r="AE50" s="275"/>
      <c r="AF50" s="286"/>
      <c r="AG50" s="274"/>
      <c r="AH50" s="275"/>
      <c r="AI50" s="286"/>
      <c r="AJ50" s="274"/>
      <c r="AK50" s="275"/>
      <c r="AL50" s="286"/>
      <c r="AM50" s="274"/>
      <c r="AN50" s="275"/>
      <c r="AO50" s="286"/>
      <c r="AP50" s="274"/>
      <c r="AQ50" s="275"/>
      <c r="AR50" s="286"/>
      <c r="AS50" s="274"/>
      <c r="AT50" s="275"/>
      <c r="AU50" s="286"/>
      <c r="AV50" s="274"/>
      <c r="AW50" s="275"/>
      <c r="AX50" s="286"/>
      <c r="AY50" s="274"/>
      <c r="AZ50" s="275"/>
    </row>
    <row r="51" spans="1:52" hidden="1" x14ac:dyDescent="0.3">
      <c r="A51" s="64" t="s">
        <v>59</v>
      </c>
      <c r="B51" s="235"/>
      <c r="C51" s="172"/>
      <c r="D51" s="277"/>
      <c r="E51" s="287"/>
      <c r="F51" s="172"/>
      <c r="G51" s="277"/>
      <c r="H51" s="172"/>
      <c r="I51" s="172"/>
      <c r="J51" s="172"/>
      <c r="K51" s="287"/>
      <c r="L51" s="172"/>
      <c r="M51" s="277"/>
      <c r="N51" s="172"/>
      <c r="O51" s="172"/>
      <c r="P51" s="277"/>
      <c r="Q51" s="505"/>
      <c r="R51" s="497"/>
      <c r="S51" s="498"/>
      <c r="T51" s="287"/>
      <c r="U51" s="172"/>
      <c r="V51" s="277"/>
      <c r="W51" s="226"/>
      <c r="X51" s="36"/>
      <c r="Y51" s="214"/>
      <c r="Z51" s="226"/>
      <c r="AA51" s="36"/>
      <c r="AB51" s="214"/>
      <c r="AC51" s="287"/>
      <c r="AD51" s="172"/>
      <c r="AE51" s="277"/>
      <c r="AF51" s="287"/>
      <c r="AG51" s="172"/>
      <c r="AH51" s="277"/>
      <c r="AI51" s="287"/>
      <c r="AJ51" s="172"/>
      <c r="AK51" s="277"/>
      <c r="AL51" s="287"/>
      <c r="AM51" s="172"/>
      <c r="AN51" s="277"/>
      <c r="AO51" s="287"/>
      <c r="AP51" s="172"/>
      <c r="AQ51" s="277"/>
      <c r="AR51" s="287"/>
      <c r="AS51" s="172"/>
      <c r="AT51" s="277"/>
      <c r="AU51" s="287"/>
      <c r="AV51" s="172"/>
      <c r="AW51" s="277"/>
      <c r="AX51" s="287"/>
      <c r="AY51" s="172"/>
      <c r="AZ51" s="277"/>
    </row>
    <row r="52" spans="1:52" hidden="1" x14ac:dyDescent="0.3">
      <c r="A52" s="39" t="s">
        <v>60</v>
      </c>
      <c r="B52" s="226"/>
      <c r="C52" s="491"/>
      <c r="D52" s="291"/>
      <c r="E52" s="226"/>
      <c r="F52" s="491"/>
      <c r="G52" s="291"/>
      <c r="H52" s="573"/>
      <c r="I52" s="573"/>
      <c r="J52" s="573"/>
      <c r="K52" s="226"/>
      <c r="L52" s="491"/>
      <c r="M52" s="291"/>
      <c r="N52" s="573"/>
      <c r="O52" s="573"/>
      <c r="P52" s="291"/>
      <c r="Q52" s="255"/>
      <c r="R52" s="512"/>
      <c r="S52" s="513"/>
      <c r="T52" s="226"/>
      <c r="U52" s="491"/>
      <c r="V52" s="291"/>
      <c r="W52" s="226"/>
      <c r="X52" s="242"/>
      <c r="Y52" s="243"/>
      <c r="Z52" s="226"/>
      <c r="AA52" s="242"/>
      <c r="AB52" s="243"/>
      <c r="AC52" s="226"/>
      <c r="AD52" s="491"/>
      <c r="AE52" s="291"/>
      <c r="AF52" s="226"/>
      <c r="AG52" s="491"/>
      <c r="AH52" s="291"/>
      <c r="AI52" s="226"/>
      <c r="AJ52" s="491"/>
      <c r="AK52" s="291"/>
      <c r="AL52" s="226"/>
      <c r="AM52" s="491"/>
      <c r="AN52" s="291"/>
      <c r="AO52" s="226"/>
      <c r="AP52" s="491"/>
      <c r="AQ52" s="291"/>
      <c r="AR52" s="226"/>
      <c r="AS52" s="573"/>
      <c r="AT52" s="291"/>
      <c r="AU52" s="226"/>
      <c r="AV52" s="491"/>
      <c r="AW52" s="291"/>
      <c r="AX52" s="226"/>
      <c r="AY52" s="491"/>
      <c r="AZ52" s="291"/>
    </row>
    <row r="53" spans="1:52" hidden="1" x14ac:dyDescent="0.3">
      <c r="A53" s="26" t="s">
        <v>61</v>
      </c>
      <c r="B53" s="235"/>
      <c r="C53" s="172"/>
      <c r="D53" s="277"/>
      <c r="E53" s="287"/>
      <c r="F53" s="172"/>
      <c r="G53" s="277"/>
      <c r="H53" s="172"/>
      <c r="I53" s="172"/>
      <c r="J53" s="172"/>
      <c r="K53" s="287"/>
      <c r="L53" s="172"/>
      <c r="M53" s="277"/>
      <c r="N53" s="172"/>
      <c r="O53" s="172"/>
      <c r="P53" s="277"/>
      <c r="Q53" s="505"/>
      <c r="R53" s="497"/>
      <c r="S53" s="498"/>
      <c r="T53" s="287"/>
      <c r="U53" s="172"/>
      <c r="V53" s="277"/>
      <c r="W53" s="226"/>
      <c r="X53" s="36"/>
      <c r="Y53" s="214"/>
      <c r="Z53" s="226"/>
      <c r="AA53" s="36"/>
      <c r="AB53" s="214"/>
      <c r="AC53" s="287"/>
      <c r="AD53" s="172"/>
      <c r="AE53" s="277"/>
      <c r="AF53" s="287"/>
      <c r="AG53" s="172"/>
      <c r="AH53" s="277"/>
      <c r="AI53" s="287"/>
      <c r="AJ53" s="172"/>
      <c r="AK53" s="277"/>
      <c r="AL53" s="287"/>
      <c r="AM53" s="172"/>
      <c r="AN53" s="277"/>
      <c r="AO53" s="287"/>
      <c r="AP53" s="172"/>
      <c r="AQ53" s="277"/>
      <c r="AR53" s="287"/>
      <c r="AS53" s="172"/>
      <c r="AT53" s="277"/>
      <c r="AU53" s="287"/>
      <c r="AV53" s="172"/>
      <c r="AW53" s="277"/>
      <c r="AX53" s="287"/>
      <c r="AY53" s="172"/>
      <c r="AZ53" s="277"/>
    </row>
    <row r="54" spans="1:52" hidden="1" x14ac:dyDescent="0.3">
      <c r="A54" s="26" t="s">
        <v>62</v>
      </c>
      <c r="B54" s="235"/>
      <c r="C54" s="172"/>
      <c r="D54" s="277"/>
      <c r="E54" s="287"/>
      <c r="F54" s="172"/>
      <c r="G54" s="277"/>
      <c r="H54" s="172"/>
      <c r="I54" s="172"/>
      <c r="J54" s="172"/>
      <c r="K54" s="287"/>
      <c r="L54" s="172"/>
      <c r="M54" s="277"/>
      <c r="N54" s="172"/>
      <c r="O54" s="172"/>
      <c r="P54" s="277"/>
      <c r="Q54" s="505"/>
      <c r="R54" s="497"/>
      <c r="S54" s="498"/>
      <c r="T54" s="287"/>
      <c r="U54" s="172"/>
      <c r="V54" s="277"/>
      <c r="W54" s="226"/>
      <c r="X54" s="36"/>
      <c r="Y54" s="214"/>
      <c r="Z54" s="226"/>
      <c r="AA54" s="36"/>
      <c r="AB54" s="214"/>
      <c r="AC54" s="287"/>
      <c r="AD54" s="172"/>
      <c r="AE54" s="277"/>
      <c r="AF54" s="287"/>
      <c r="AG54" s="172"/>
      <c r="AH54" s="277"/>
      <c r="AI54" s="287"/>
      <c r="AJ54" s="172"/>
      <c r="AK54" s="277"/>
      <c r="AL54" s="287"/>
      <c r="AM54" s="172"/>
      <c r="AN54" s="277"/>
      <c r="AO54" s="287"/>
      <c r="AP54" s="172"/>
      <c r="AQ54" s="277"/>
      <c r="AR54" s="287"/>
      <c r="AS54" s="172"/>
      <c r="AT54" s="277"/>
      <c r="AU54" s="287"/>
      <c r="AV54" s="172"/>
      <c r="AW54" s="277"/>
      <c r="AX54" s="287"/>
      <c r="AY54" s="172"/>
      <c r="AZ54" s="277"/>
    </row>
    <row r="55" spans="1:52" hidden="1" x14ac:dyDescent="0.3">
      <c r="A55" s="26" t="s">
        <v>63</v>
      </c>
      <c r="B55" s="235"/>
      <c r="C55" s="69"/>
      <c r="D55" s="70"/>
      <c r="E55" s="287"/>
      <c r="F55" s="69"/>
      <c r="G55" s="70"/>
      <c r="H55" s="607"/>
      <c r="I55" s="607"/>
      <c r="J55" s="607"/>
      <c r="K55" s="287"/>
      <c r="L55" s="69"/>
      <c r="M55" s="70"/>
      <c r="N55" s="607"/>
      <c r="O55" s="607"/>
      <c r="P55" s="70"/>
      <c r="Q55" s="505"/>
      <c r="R55" s="514"/>
      <c r="S55" s="507"/>
      <c r="T55" s="287"/>
      <c r="U55" s="69"/>
      <c r="V55" s="70"/>
      <c r="W55" s="226"/>
      <c r="X55" s="69"/>
      <c r="Y55" s="70"/>
      <c r="Z55" s="226"/>
      <c r="AA55" s="69"/>
      <c r="AB55" s="70"/>
      <c r="AC55" s="287"/>
      <c r="AD55" s="69"/>
      <c r="AE55" s="70"/>
      <c r="AF55" s="287"/>
      <c r="AG55" s="69"/>
      <c r="AH55" s="70"/>
      <c r="AI55" s="287"/>
      <c r="AJ55" s="69"/>
      <c r="AK55" s="70"/>
      <c r="AL55" s="287"/>
      <c r="AM55" s="69"/>
      <c r="AN55" s="70"/>
      <c r="AO55" s="287"/>
      <c r="AP55" s="69"/>
      <c r="AQ55" s="70"/>
      <c r="AR55" s="287"/>
      <c r="AS55" s="607"/>
      <c r="AT55" s="70"/>
      <c r="AU55" s="287"/>
      <c r="AV55" s="69"/>
      <c r="AW55" s="70"/>
      <c r="AX55" s="287"/>
      <c r="AY55" s="69"/>
      <c r="AZ55" s="70"/>
    </row>
    <row r="56" spans="1:52" hidden="1" x14ac:dyDescent="0.3">
      <c r="A56" s="26"/>
      <c r="B56" s="68" t="s">
        <v>50</v>
      </c>
      <c r="C56" s="95">
        <v>1.2</v>
      </c>
      <c r="D56" s="70" t="s">
        <v>64</v>
      </c>
      <c r="E56" s="68" t="s">
        <v>50</v>
      </c>
      <c r="F56" s="95">
        <v>1.1000000000000001</v>
      </c>
      <c r="G56" s="70" t="s">
        <v>64</v>
      </c>
      <c r="H56" s="68" t="s">
        <v>50</v>
      </c>
      <c r="I56" s="626">
        <v>1</v>
      </c>
      <c r="J56" s="70" t="s">
        <v>64</v>
      </c>
      <c r="K56" s="68" t="s">
        <v>50</v>
      </c>
      <c r="L56" s="626">
        <v>1.4</v>
      </c>
      <c r="M56" s="70" t="s">
        <v>64</v>
      </c>
      <c r="N56" s="68" t="s">
        <v>50</v>
      </c>
      <c r="O56" s="626">
        <v>1.2</v>
      </c>
      <c r="P56" s="70" t="s">
        <v>64</v>
      </c>
      <c r="Q56" s="68" t="s">
        <v>50</v>
      </c>
      <c r="R56" s="643">
        <v>1.4</v>
      </c>
      <c r="S56" s="507" t="s">
        <v>64</v>
      </c>
      <c r="T56" s="68" t="s">
        <v>50</v>
      </c>
      <c r="U56" s="95">
        <v>1.4</v>
      </c>
      <c r="V56" s="70" t="s">
        <v>64</v>
      </c>
      <c r="W56" s="68" t="s">
        <v>50</v>
      </c>
      <c r="X56" s="95">
        <v>1.2</v>
      </c>
      <c r="Y56" s="70" t="s">
        <v>64</v>
      </c>
      <c r="Z56" s="68" t="s">
        <v>50</v>
      </c>
      <c r="AA56" s="95">
        <v>1.2</v>
      </c>
      <c r="AB56" s="70" t="s">
        <v>64</v>
      </c>
      <c r="AC56" s="68" t="s">
        <v>50</v>
      </c>
      <c r="AD56" s="95">
        <v>1.2</v>
      </c>
      <c r="AE56" s="70" t="s">
        <v>64</v>
      </c>
      <c r="AF56" s="68" t="s">
        <v>50</v>
      </c>
      <c r="AG56" s="95">
        <v>1.4</v>
      </c>
      <c r="AH56" s="70" t="s">
        <v>64</v>
      </c>
      <c r="AI56" s="68" t="s">
        <v>50</v>
      </c>
      <c r="AJ56" s="95">
        <v>1.4</v>
      </c>
      <c r="AK56" s="70" t="s">
        <v>64</v>
      </c>
      <c r="AL56" s="68" t="s">
        <v>50</v>
      </c>
      <c r="AM56" s="95">
        <v>1.4</v>
      </c>
      <c r="AN56" s="70" t="s">
        <v>64</v>
      </c>
      <c r="AO56" s="68" t="s">
        <v>50</v>
      </c>
      <c r="AP56" s="95">
        <v>1.4</v>
      </c>
      <c r="AQ56" s="70" t="s">
        <v>64</v>
      </c>
      <c r="AR56" s="68" t="s">
        <v>50</v>
      </c>
      <c r="AS56" s="626">
        <v>1.4</v>
      </c>
      <c r="AT56" s="70" t="s">
        <v>64</v>
      </c>
      <c r="AU56" s="68" t="s">
        <v>50</v>
      </c>
      <c r="AV56" s="95">
        <v>1.4</v>
      </c>
      <c r="AW56" s="70" t="s">
        <v>64</v>
      </c>
      <c r="AX56" s="68" t="s">
        <v>50</v>
      </c>
      <c r="AY56" s="95" t="s">
        <v>25</v>
      </c>
      <c r="AZ56" s="70" t="s">
        <v>64</v>
      </c>
    </row>
    <row r="57" spans="1:52" hidden="1" x14ac:dyDescent="0.3">
      <c r="A57" s="525"/>
      <c r="B57" s="531" t="s">
        <v>50</v>
      </c>
      <c r="C57" s="273">
        <v>1.1000000000000001</v>
      </c>
      <c r="D57" s="527" t="s">
        <v>64</v>
      </c>
      <c r="E57" s="531" t="s">
        <v>50</v>
      </c>
      <c r="F57" s="273">
        <v>1</v>
      </c>
      <c r="G57" s="527" t="s">
        <v>64</v>
      </c>
      <c r="H57" s="531" t="s">
        <v>50</v>
      </c>
      <c r="I57" s="627">
        <v>0.9</v>
      </c>
      <c r="J57" s="527" t="s">
        <v>64</v>
      </c>
      <c r="K57" s="531" t="s">
        <v>50</v>
      </c>
      <c r="L57" s="273">
        <v>1.2</v>
      </c>
      <c r="M57" s="527" t="s">
        <v>64</v>
      </c>
      <c r="N57" s="531" t="s">
        <v>50</v>
      </c>
      <c r="O57" s="627">
        <v>1</v>
      </c>
      <c r="P57" s="527" t="s">
        <v>64</v>
      </c>
      <c r="Q57" s="531" t="s">
        <v>50</v>
      </c>
      <c r="R57" s="273">
        <v>1.2</v>
      </c>
      <c r="S57" s="527" t="s">
        <v>64</v>
      </c>
      <c r="T57" s="531" t="s">
        <v>50</v>
      </c>
      <c r="U57" s="273">
        <v>1.3</v>
      </c>
      <c r="V57" s="527" t="s">
        <v>64</v>
      </c>
      <c r="W57" s="531" t="s">
        <v>50</v>
      </c>
      <c r="X57" s="273">
        <v>1.1000000000000001</v>
      </c>
      <c r="Y57" s="527" t="s">
        <v>64</v>
      </c>
      <c r="Z57" s="531" t="s">
        <v>50</v>
      </c>
      <c r="AA57" s="273">
        <v>1.1000000000000001</v>
      </c>
      <c r="AB57" s="527" t="s">
        <v>64</v>
      </c>
      <c r="AC57" s="531" t="s">
        <v>50</v>
      </c>
      <c r="AD57" s="273">
        <v>1.1000000000000001</v>
      </c>
      <c r="AE57" s="527" t="s">
        <v>64</v>
      </c>
      <c r="AF57" s="531" t="s">
        <v>50</v>
      </c>
      <c r="AG57" s="273">
        <v>1.2</v>
      </c>
      <c r="AH57" s="527" t="s">
        <v>64</v>
      </c>
      <c r="AI57" s="531" t="s">
        <v>50</v>
      </c>
      <c r="AJ57" s="273">
        <v>1.2</v>
      </c>
      <c r="AK57" s="527" t="s">
        <v>64</v>
      </c>
      <c r="AL57" s="531" t="s">
        <v>50</v>
      </c>
      <c r="AM57" s="273">
        <v>1.2</v>
      </c>
      <c r="AN57" s="527" t="s">
        <v>64</v>
      </c>
      <c r="AO57" s="531" t="s">
        <v>50</v>
      </c>
      <c r="AP57" s="273">
        <v>1.2</v>
      </c>
      <c r="AQ57" s="527" t="s">
        <v>64</v>
      </c>
      <c r="AR57" s="531" t="s">
        <v>50</v>
      </c>
      <c r="AS57" s="627">
        <v>1.2</v>
      </c>
      <c r="AT57" s="527" t="s">
        <v>64</v>
      </c>
      <c r="AU57" s="531" t="s">
        <v>50</v>
      </c>
      <c r="AV57" s="273">
        <v>1.2</v>
      </c>
      <c r="AW57" s="527" t="s">
        <v>64</v>
      </c>
      <c r="AX57" s="531" t="s">
        <v>50</v>
      </c>
      <c r="AY57" s="273" t="s">
        <v>25</v>
      </c>
      <c r="AZ57" s="527" t="s">
        <v>64</v>
      </c>
    </row>
    <row r="58" spans="1:52" hidden="1" x14ac:dyDescent="0.3">
      <c r="A58" s="48"/>
      <c r="B58" s="227"/>
      <c r="C58" s="292"/>
      <c r="D58" s="293"/>
      <c r="E58" s="282"/>
      <c r="F58" s="292"/>
      <c r="G58" s="293"/>
      <c r="H58" s="608"/>
      <c r="I58" s="608"/>
      <c r="J58" s="608"/>
      <c r="K58" s="282"/>
      <c r="L58" s="292"/>
      <c r="M58" s="293"/>
      <c r="N58" s="282"/>
      <c r="O58" s="608"/>
      <c r="P58" s="293"/>
      <c r="Q58" s="501"/>
      <c r="R58" s="515"/>
      <c r="S58" s="516"/>
      <c r="T58" s="282"/>
      <c r="U58" s="292"/>
      <c r="V58" s="293"/>
      <c r="W58" s="228"/>
      <c r="X58" s="245"/>
      <c r="Y58" s="246"/>
      <c r="Z58" s="228"/>
      <c r="AA58" s="245"/>
      <c r="AB58" s="246"/>
      <c r="AC58" s="282"/>
      <c r="AD58" s="292"/>
      <c r="AE58" s="293"/>
      <c r="AF58" s="282"/>
      <c r="AG58" s="292"/>
      <c r="AH58" s="293"/>
      <c r="AI58" s="282"/>
      <c r="AJ58" s="292"/>
      <c r="AK58" s="293"/>
      <c r="AL58" s="282"/>
      <c r="AM58" s="292"/>
      <c r="AN58" s="293"/>
      <c r="AO58" s="282"/>
      <c r="AP58" s="292"/>
      <c r="AQ58" s="293"/>
      <c r="AR58" s="282"/>
      <c r="AS58" s="608"/>
      <c r="AT58" s="293"/>
      <c r="AU58" s="282"/>
      <c r="AV58" s="292"/>
      <c r="AW58" s="293"/>
      <c r="AX58" s="282"/>
      <c r="AY58" s="292"/>
      <c r="AZ58" s="293"/>
    </row>
    <row r="59" spans="1:52" hidden="1" x14ac:dyDescent="0.3">
      <c r="A59" s="13"/>
      <c r="B59" s="209"/>
      <c r="C59" s="294"/>
      <c r="D59" s="295"/>
      <c r="E59" s="296"/>
      <c r="F59" s="294"/>
      <c r="G59" s="295"/>
      <c r="H59" s="609"/>
      <c r="I59" s="609"/>
      <c r="J59" s="609"/>
      <c r="K59" s="296"/>
      <c r="L59" s="294"/>
      <c r="M59" s="295"/>
      <c r="N59" s="296"/>
      <c r="O59" s="609"/>
      <c r="P59" s="295"/>
      <c r="Q59" s="285"/>
      <c r="R59" s="283"/>
      <c r="S59" s="299"/>
      <c r="T59" s="296"/>
      <c r="U59" s="294"/>
      <c r="V59" s="295"/>
      <c r="W59" s="210"/>
      <c r="X59" s="248"/>
      <c r="Y59" s="249"/>
      <c r="Z59" s="210"/>
      <c r="AA59" s="248"/>
      <c r="AB59" s="249"/>
      <c r="AC59" s="296"/>
      <c r="AD59" s="294"/>
      <c r="AE59" s="295"/>
      <c r="AF59" s="296"/>
      <c r="AG59" s="294"/>
      <c r="AH59" s="295"/>
      <c r="AI59" s="296"/>
      <c r="AJ59" s="294"/>
      <c r="AK59" s="295"/>
      <c r="AL59" s="296"/>
      <c r="AM59" s="294"/>
      <c r="AN59" s="295"/>
      <c r="AO59" s="296"/>
      <c r="AP59" s="294"/>
      <c r="AQ59" s="295"/>
      <c r="AR59" s="296"/>
      <c r="AS59" s="609"/>
      <c r="AT59" s="295"/>
      <c r="AU59" s="296"/>
      <c r="AV59" s="294"/>
      <c r="AW59" s="295"/>
      <c r="AX59" s="296"/>
      <c r="AY59" s="294"/>
      <c r="AZ59" s="295"/>
    </row>
    <row r="60" spans="1:52" ht="15.6" hidden="1" x14ac:dyDescent="0.3">
      <c r="A60" s="19" t="s">
        <v>65</v>
      </c>
      <c r="B60" s="213"/>
      <c r="C60" s="146"/>
      <c r="D60" s="591"/>
      <c r="E60" s="592"/>
      <c r="F60" s="146"/>
      <c r="G60" s="591"/>
      <c r="H60" s="610"/>
      <c r="I60" s="610"/>
      <c r="J60" s="610"/>
      <c r="K60" s="592"/>
      <c r="L60" s="146"/>
      <c r="M60" s="591"/>
      <c r="N60" s="592"/>
      <c r="O60" s="610"/>
      <c r="P60" s="591"/>
      <c r="Q60" s="593"/>
      <c r="R60" s="594"/>
      <c r="S60" s="595"/>
      <c r="T60" s="592"/>
      <c r="U60" s="146"/>
      <c r="V60" s="591"/>
      <c r="W60" s="592"/>
      <c r="X60" s="155"/>
      <c r="Y60" s="220"/>
      <c r="Z60" s="213"/>
      <c r="AA60" s="36"/>
      <c r="AB60" s="220"/>
      <c r="AC60" s="213"/>
      <c r="AD60" s="172"/>
      <c r="AE60" s="279"/>
      <c r="AF60" s="213"/>
      <c r="AG60" s="172"/>
      <c r="AH60" s="279"/>
      <c r="AI60" s="213"/>
      <c r="AJ60" s="172"/>
      <c r="AK60" s="279"/>
      <c r="AL60" s="213"/>
      <c r="AM60" s="172"/>
      <c r="AN60" s="279"/>
      <c r="AO60" s="213"/>
      <c r="AP60" s="172"/>
      <c r="AQ60" s="279"/>
      <c r="AR60" s="213"/>
      <c r="AS60" s="422"/>
      <c r="AT60" s="279"/>
      <c r="AU60" s="213"/>
      <c r="AV60" s="172"/>
      <c r="AW60" s="279"/>
      <c r="AX60" s="213"/>
      <c r="AY60" s="172"/>
      <c r="AZ60" s="279"/>
    </row>
    <row r="61" spans="1:52" hidden="1" x14ac:dyDescent="0.3">
      <c r="A61" s="23"/>
      <c r="B61" s="233"/>
      <c r="C61" s="596"/>
      <c r="D61" s="597"/>
      <c r="E61" s="598"/>
      <c r="F61" s="596"/>
      <c r="G61" s="597"/>
      <c r="H61" s="611"/>
      <c r="I61" s="611"/>
      <c r="J61" s="611"/>
      <c r="K61" s="598"/>
      <c r="L61" s="596"/>
      <c r="M61" s="597"/>
      <c r="N61" s="598"/>
      <c r="O61" s="611"/>
      <c r="P61" s="597"/>
      <c r="Q61" s="599"/>
      <c r="R61" s="600"/>
      <c r="S61" s="601"/>
      <c r="T61" s="598"/>
      <c r="U61" s="596"/>
      <c r="V61" s="597"/>
      <c r="W61" s="602"/>
      <c r="X61" s="603"/>
      <c r="Y61" s="251"/>
      <c r="Z61" s="234"/>
      <c r="AA61" s="216"/>
      <c r="AB61" s="251"/>
      <c r="AC61" s="286"/>
      <c r="AD61" s="274"/>
      <c r="AE61" s="297"/>
      <c r="AF61" s="286"/>
      <c r="AG61" s="274"/>
      <c r="AH61" s="297"/>
      <c r="AI61" s="286"/>
      <c r="AJ61" s="274"/>
      <c r="AK61" s="297"/>
      <c r="AL61" s="286"/>
      <c r="AM61" s="274"/>
      <c r="AN61" s="297"/>
      <c r="AO61" s="286"/>
      <c r="AP61" s="274"/>
      <c r="AQ61" s="297"/>
      <c r="AR61" s="286"/>
      <c r="AS61" s="614"/>
      <c r="AT61" s="297"/>
      <c r="AU61" s="286"/>
      <c r="AV61" s="274"/>
      <c r="AW61" s="297"/>
      <c r="AX61" s="286"/>
      <c r="AY61" s="274"/>
      <c r="AZ61" s="297"/>
    </row>
    <row r="62" spans="1:52" hidden="1" x14ac:dyDescent="0.3">
      <c r="A62" s="64" t="s">
        <v>66</v>
      </c>
      <c r="B62" s="235"/>
      <c r="C62" s="648">
        <f>C63/C66</f>
        <v>1</v>
      </c>
      <c r="D62" s="647" t="s">
        <v>312</v>
      </c>
      <c r="E62" s="604"/>
      <c r="F62" s="648">
        <f>F63/F66</f>
        <v>1</v>
      </c>
      <c r="G62" s="647" t="s">
        <v>312</v>
      </c>
      <c r="H62" s="649"/>
      <c r="I62" s="648">
        <f>I63/I66</f>
        <v>1</v>
      </c>
      <c r="J62" s="647" t="s">
        <v>312</v>
      </c>
      <c r="K62" s="649"/>
      <c r="L62" s="648">
        <f>L63/L66</f>
        <v>1</v>
      </c>
      <c r="M62" s="647" t="s">
        <v>312</v>
      </c>
      <c r="N62" s="649"/>
      <c r="O62" s="648">
        <f>O63/O66</f>
        <v>1</v>
      </c>
      <c r="P62" s="647" t="s">
        <v>312</v>
      </c>
      <c r="Q62" s="650"/>
      <c r="R62" s="651">
        <f>R63/R66</f>
        <v>1</v>
      </c>
      <c r="S62" s="652" t="s">
        <v>312</v>
      </c>
      <c r="T62" s="649"/>
      <c r="U62" s="648">
        <f>U63/U66</f>
        <v>1</v>
      </c>
      <c r="V62" s="647" t="s">
        <v>312</v>
      </c>
      <c r="W62" s="649"/>
      <c r="X62" s="648">
        <f>X63/X66</f>
        <v>1</v>
      </c>
      <c r="Y62" s="647" t="s">
        <v>312</v>
      </c>
      <c r="Z62" s="649"/>
      <c r="AA62" s="648">
        <f>AA63/AA66</f>
        <v>1</v>
      </c>
      <c r="AB62" s="647" t="s">
        <v>312</v>
      </c>
      <c r="AC62" s="649"/>
      <c r="AD62" s="648">
        <f>AD63/AD66</f>
        <v>1</v>
      </c>
      <c r="AE62" s="647" t="s">
        <v>312</v>
      </c>
      <c r="AF62" s="649"/>
      <c r="AG62" s="648">
        <f>AG63/AG66</f>
        <v>1</v>
      </c>
      <c r="AH62" s="647" t="s">
        <v>312</v>
      </c>
      <c r="AI62" s="649"/>
      <c r="AJ62" s="648">
        <f>AJ63/AJ66</f>
        <v>1</v>
      </c>
      <c r="AK62" s="647" t="s">
        <v>312</v>
      </c>
      <c r="AL62" s="649"/>
      <c r="AM62" s="648">
        <f>AM63/AM66</f>
        <v>1</v>
      </c>
      <c r="AN62" s="647" t="s">
        <v>312</v>
      </c>
      <c r="AO62" s="649"/>
      <c r="AP62" s="648">
        <f>AP63/AP66</f>
        <v>1</v>
      </c>
      <c r="AQ62" s="647" t="s">
        <v>312</v>
      </c>
      <c r="AR62" s="649"/>
      <c r="AS62" s="648">
        <f>AS63/AS66</f>
        <v>1</v>
      </c>
      <c r="AT62" s="647" t="s">
        <v>312</v>
      </c>
      <c r="AU62" s="649"/>
      <c r="AV62" s="648">
        <f>AV63/AV66</f>
        <v>1</v>
      </c>
      <c r="AW62" s="647" t="s">
        <v>312</v>
      </c>
      <c r="AX62" s="649"/>
      <c r="AY62" s="648">
        <f>AY63/AY66</f>
        <v>1</v>
      </c>
      <c r="AZ62" s="647" t="s">
        <v>312</v>
      </c>
    </row>
    <row r="63" spans="1:52" hidden="1" x14ac:dyDescent="0.3">
      <c r="A63" s="79" t="s">
        <v>67</v>
      </c>
      <c r="B63" s="68" t="s">
        <v>50</v>
      </c>
      <c r="C63" s="632">
        <v>85</v>
      </c>
      <c r="D63" s="298" t="s">
        <v>68</v>
      </c>
      <c r="E63" s="68" t="s">
        <v>50</v>
      </c>
      <c r="F63" s="437">
        <v>65</v>
      </c>
      <c r="G63" s="298" t="s">
        <v>68</v>
      </c>
      <c r="H63" s="68" t="s">
        <v>50</v>
      </c>
      <c r="I63" s="437">
        <v>95</v>
      </c>
      <c r="J63" s="298" t="s">
        <v>68</v>
      </c>
      <c r="K63" s="68" t="s">
        <v>50</v>
      </c>
      <c r="L63" s="437">
        <v>95</v>
      </c>
      <c r="M63" s="298" t="s">
        <v>68</v>
      </c>
      <c r="N63" s="68" t="s">
        <v>50</v>
      </c>
      <c r="O63" s="632">
        <v>110</v>
      </c>
      <c r="P63" s="298" t="s">
        <v>68</v>
      </c>
      <c r="Q63" s="68" t="s">
        <v>50</v>
      </c>
      <c r="R63" s="644">
        <v>105</v>
      </c>
      <c r="S63" s="518" t="s">
        <v>68</v>
      </c>
      <c r="T63" s="68" t="s">
        <v>50</v>
      </c>
      <c r="U63" s="437">
        <v>150</v>
      </c>
      <c r="V63" s="298" t="s">
        <v>68</v>
      </c>
      <c r="W63" s="68" t="s">
        <v>50</v>
      </c>
      <c r="X63" s="632">
        <v>85</v>
      </c>
      <c r="Y63" s="253" t="s">
        <v>68</v>
      </c>
      <c r="Z63" s="68" t="s">
        <v>50</v>
      </c>
      <c r="AA63" s="632">
        <v>80</v>
      </c>
      <c r="AB63" s="253" t="s">
        <v>68</v>
      </c>
      <c r="AC63" s="68" t="s">
        <v>50</v>
      </c>
      <c r="AD63" s="437">
        <v>110</v>
      </c>
      <c r="AE63" s="298" t="s">
        <v>68</v>
      </c>
      <c r="AF63" s="68" t="s">
        <v>50</v>
      </c>
      <c r="AG63" s="437">
        <v>135</v>
      </c>
      <c r="AH63" s="298" t="s">
        <v>68</v>
      </c>
      <c r="AI63" s="68" t="s">
        <v>50</v>
      </c>
      <c r="AJ63" s="437">
        <v>75</v>
      </c>
      <c r="AK63" s="298" t="s">
        <v>68</v>
      </c>
      <c r="AL63" s="68" t="s">
        <v>50</v>
      </c>
      <c r="AM63" s="437">
        <v>65</v>
      </c>
      <c r="AN63" s="298" t="s">
        <v>68</v>
      </c>
      <c r="AO63" s="68" t="s">
        <v>50</v>
      </c>
      <c r="AP63" s="437">
        <v>65</v>
      </c>
      <c r="AQ63" s="298" t="s">
        <v>68</v>
      </c>
      <c r="AR63" s="68" t="s">
        <v>50</v>
      </c>
      <c r="AS63" s="632">
        <v>55</v>
      </c>
      <c r="AT63" s="298" t="s">
        <v>68</v>
      </c>
      <c r="AU63" s="68" t="s">
        <v>50</v>
      </c>
      <c r="AV63" s="437">
        <v>115</v>
      </c>
      <c r="AW63" s="298" t="s">
        <v>68</v>
      </c>
      <c r="AX63" s="68" t="s">
        <v>50</v>
      </c>
      <c r="AY63" s="437">
        <v>75</v>
      </c>
      <c r="AZ63" s="298" t="s">
        <v>68</v>
      </c>
    </row>
    <row r="64" spans="1:52" hidden="1" x14ac:dyDescent="0.3">
      <c r="A64" s="525"/>
      <c r="B64" s="531" t="s">
        <v>50</v>
      </c>
      <c r="C64" s="633">
        <v>75</v>
      </c>
      <c r="D64" s="535" t="s">
        <v>68</v>
      </c>
      <c r="E64" s="531" t="s">
        <v>50</v>
      </c>
      <c r="F64" s="540">
        <v>60</v>
      </c>
      <c r="G64" s="535" t="s">
        <v>68</v>
      </c>
      <c r="H64" s="531" t="s">
        <v>50</v>
      </c>
      <c r="I64" s="540">
        <v>85</v>
      </c>
      <c r="J64" s="535" t="s">
        <v>68</v>
      </c>
      <c r="K64" s="531" t="s">
        <v>50</v>
      </c>
      <c r="L64" s="540">
        <v>85</v>
      </c>
      <c r="M64" s="535" t="s">
        <v>68</v>
      </c>
      <c r="N64" s="531" t="s">
        <v>50</v>
      </c>
      <c r="O64" s="633">
        <v>100</v>
      </c>
      <c r="P64" s="535" t="s">
        <v>68</v>
      </c>
      <c r="Q64" s="531" t="s">
        <v>50</v>
      </c>
      <c r="R64" s="633">
        <v>95</v>
      </c>
      <c r="S64" s="535" t="s">
        <v>68</v>
      </c>
      <c r="T64" s="531" t="s">
        <v>50</v>
      </c>
      <c r="U64" s="540">
        <v>130</v>
      </c>
      <c r="V64" s="535" t="s">
        <v>68</v>
      </c>
      <c r="W64" s="531" t="s">
        <v>50</v>
      </c>
      <c r="X64" s="633">
        <v>80</v>
      </c>
      <c r="Y64" s="535" t="s">
        <v>68</v>
      </c>
      <c r="Z64" s="531" t="s">
        <v>50</v>
      </c>
      <c r="AA64" s="633">
        <v>65</v>
      </c>
      <c r="AB64" s="535" t="s">
        <v>68</v>
      </c>
      <c r="AC64" s="531" t="s">
        <v>50</v>
      </c>
      <c r="AD64" s="540">
        <v>100</v>
      </c>
      <c r="AE64" s="535" t="s">
        <v>68</v>
      </c>
      <c r="AF64" s="531" t="s">
        <v>50</v>
      </c>
      <c r="AG64" s="540">
        <v>120</v>
      </c>
      <c r="AH64" s="535" t="s">
        <v>68</v>
      </c>
      <c r="AI64" s="531" t="s">
        <v>50</v>
      </c>
      <c r="AJ64" s="540">
        <v>65</v>
      </c>
      <c r="AK64" s="535" t="s">
        <v>68</v>
      </c>
      <c r="AL64" s="531" t="s">
        <v>50</v>
      </c>
      <c r="AM64" s="540">
        <v>55</v>
      </c>
      <c r="AN64" s="535" t="s">
        <v>68</v>
      </c>
      <c r="AO64" s="531" t="s">
        <v>50</v>
      </c>
      <c r="AP64" s="540">
        <v>50</v>
      </c>
      <c r="AQ64" s="535" t="s">
        <v>68</v>
      </c>
      <c r="AR64" s="531" t="s">
        <v>50</v>
      </c>
      <c r="AS64" s="633">
        <v>40</v>
      </c>
      <c r="AT64" s="535" t="s">
        <v>68</v>
      </c>
      <c r="AU64" s="531" t="s">
        <v>50</v>
      </c>
      <c r="AV64" s="540">
        <v>100</v>
      </c>
      <c r="AW64" s="535" t="s">
        <v>68</v>
      </c>
      <c r="AX64" s="531" t="s">
        <v>50</v>
      </c>
      <c r="AY64" s="540">
        <v>55</v>
      </c>
      <c r="AZ64" s="535" t="s">
        <v>68</v>
      </c>
    </row>
    <row r="65" spans="1:52" hidden="1" x14ac:dyDescent="0.3">
      <c r="A65" s="26" t="s">
        <v>69</v>
      </c>
      <c r="B65" s="433"/>
      <c r="C65" s="646">
        <f>C64/C67</f>
        <v>1</v>
      </c>
      <c r="D65" s="647" t="s">
        <v>312</v>
      </c>
      <c r="E65" s="434"/>
      <c r="F65" s="646">
        <f>F64/F67</f>
        <v>1</v>
      </c>
      <c r="G65" s="647" t="s">
        <v>312</v>
      </c>
      <c r="H65" s="434"/>
      <c r="I65" s="646">
        <f>I64/I67</f>
        <v>1</v>
      </c>
      <c r="J65" s="647" t="s">
        <v>312</v>
      </c>
      <c r="K65" s="434"/>
      <c r="L65" s="646">
        <f>L64/L67</f>
        <v>1</v>
      </c>
      <c r="M65" s="647" t="s">
        <v>312</v>
      </c>
      <c r="N65" s="434"/>
      <c r="O65" s="646">
        <f>O64/O67</f>
        <v>1</v>
      </c>
      <c r="P65" s="647" t="s">
        <v>312</v>
      </c>
      <c r="Q65" s="519"/>
      <c r="R65" s="646">
        <f>R64/R67</f>
        <v>1</v>
      </c>
      <c r="S65" s="647" t="s">
        <v>312</v>
      </c>
      <c r="T65" s="434"/>
      <c r="U65" s="646">
        <f>U64/U67</f>
        <v>1</v>
      </c>
      <c r="V65" s="647" t="s">
        <v>312</v>
      </c>
      <c r="W65" s="434"/>
      <c r="X65" s="646">
        <f>X64/X67</f>
        <v>1</v>
      </c>
      <c r="Y65" s="647" t="s">
        <v>312</v>
      </c>
      <c r="Z65" s="434"/>
      <c r="AA65" s="646">
        <f>AA64/AA67</f>
        <v>1</v>
      </c>
      <c r="AB65" s="647" t="s">
        <v>312</v>
      </c>
      <c r="AC65" s="434"/>
      <c r="AD65" s="646">
        <f>AD64/AD67</f>
        <v>1</v>
      </c>
      <c r="AE65" s="647" t="s">
        <v>312</v>
      </c>
      <c r="AF65" s="434"/>
      <c r="AG65" s="646">
        <f>AG64/AG67</f>
        <v>1</v>
      </c>
      <c r="AH65" s="647" t="s">
        <v>312</v>
      </c>
      <c r="AI65" s="434"/>
      <c r="AJ65" s="646">
        <f>AJ64/AJ67</f>
        <v>1</v>
      </c>
      <c r="AK65" s="647" t="s">
        <v>312</v>
      </c>
      <c r="AL65" s="434"/>
      <c r="AM65" s="646">
        <f>AM64/AM67</f>
        <v>1</v>
      </c>
      <c r="AN65" s="647" t="s">
        <v>312</v>
      </c>
      <c r="AO65" s="434"/>
      <c r="AP65" s="646">
        <f>AP64/AP67</f>
        <v>1</v>
      </c>
      <c r="AQ65" s="647" t="s">
        <v>312</v>
      </c>
      <c r="AR65" s="434"/>
      <c r="AS65" s="646">
        <f>AS64/AS67</f>
        <v>1</v>
      </c>
      <c r="AT65" s="647" t="s">
        <v>312</v>
      </c>
      <c r="AU65" s="434"/>
      <c r="AV65" s="646">
        <f>AV64/AV67</f>
        <v>1</v>
      </c>
      <c r="AW65" s="647" t="s">
        <v>312</v>
      </c>
      <c r="AX65" s="434"/>
      <c r="AY65" s="646">
        <f>AY64/AY67</f>
        <v>1</v>
      </c>
      <c r="AZ65" s="647" t="s">
        <v>312</v>
      </c>
    </row>
    <row r="66" spans="1:52" hidden="1" x14ac:dyDescent="0.3">
      <c r="A66" s="26" t="s">
        <v>70</v>
      </c>
      <c r="B66" s="102" t="s">
        <v>50</v>
      </c>
      <c r="C66" s="630">
        <v>85</v>
      </c>
      <c r="D66" s="70" t="s">
        <v>71</v>
      </c>
      <c r="E66" s="102" t="s">
        <v>50</v>
      </c>
      <c r="F66" s="69">
        <v>65</v>
      </c>
      <c r="G66" s="70" t="s">
        <v>71</v>
      </c>
      <c r="H66" s="102" t="s">
        <v>50</v>
      </c>
      <c r="I66" s="69">
        <v>95</v>
      </c>
      <c r="J66" s="70" t="s">
        <v>71</v>
      </c>
      <c r="K66" s="102" t="s">
        <v>50</v>
      </c>
      <c r="L66" s="69">
        <v>95</v>
      </c>
      <c r="M66" s="70" t="s">
        <v>71</v>
      </c>
      <c r="N66" s="102" t="s">
        <v>50</v>
      </c>
      <c r="O66" s="69">
        <v>110</v>
      </c>
      <c r="P66" s="70" t="s">
        <v>71</v>
      </c>
      <c r="Q66" s="102" t="s">
        <v>50</v>
      </c>
      <c r="R66" s="514">
        <v>105</v>
      </c>
      <c r="S66" s="507" t="s">
        <v>71</v>
      </c>
      <c r="T66" s="102" t="s">
        <v>50</v>
      </c>
      <c r="U66" s="69">
        <v>150</v>
      </c>
      <c r="V66" s="70" t="s">
        <v>71</v>
      </c>
      <c r="W66" s="102" t="s">
        <v>50</v>
      </c>
      <c r="X66" s="630">
        <v>85</v>
      </c>
      <c r="Y66" s="70" t="s">
        <v>71</v>
      </c>
      <c r="Z66" s="102" t="s">
        <v>50</v>
      </c>
      <c r="AA66" s="69">
        <v>80</v>
      </c>
      <c r="AB66" s="70" t="s">
        <v>71</v>
      </c>
      <c r="AC66" s="102" t="s">
        <v>50</v>
      </c>
      <c r="AD66" s="69">
        <v>110</v>
      </c>
      <c r="AE66" s="70" t="s">
        <v>71</v>
      </c>
      <c r="AF66" s="102" t="s">
        <v>50</v>
      </c>
      <c r="AG66" s="69">
        <v>135</v>
      </c>
      <c r="AH66" s="70" t="s">
        <v>71</v>
      </c>
      <c r="AI66" s="102" t="s">
        <v>50</v>
      </c>
      <c r="AJ66" s="69">
        <v>75</v>
      </c>
      <c r="AK66" s="70" t="s">
        <v>71</v>
      </c>
      <c r="AL66" s="102" t="s">
        <v>50</v>
      </c>
      <c r="AM66" s="69">
        <v>65</v>
      </c>
      <c r="AN66" s="70" t="s">
        <v>71</v>
      </c>
      <c r="AO66" s="102" t="s">
        <v>50</v>
      </c>
      <c r="AP66" s="69">
        <v>65</v>
      </c>
      <c r="AQ66" s="70" t="s">
        <v>71</v>
      </c>
      <c r="AR66" s="102" t="s">
        <v>50</v>
      </c>
      <c r="AS66" s="630">
        <v>55</v>
      </c>
      <c r="AT66" s="70" t="s">
        <v>71</v>
      </c>
      <c r="AU66" s="102" t="s">
        <v>50</v>
      </c>
      <c r="AV66" s="69">
        <v>115</v>
      </c>
      <c r="AW66" s="70" t="s">
        <v>71</v>
      </c>
      <c r="AX66" s="102" t="s">
        <v>50</v>
      </c>
      <c r="AY66" s="69">
        <v>75</v>
      </c>
      <c r="AZ66" s="70" t="s">
        <v>71</v>
      </c>
    </row>
    <row r="67" spans="1:52" hidden="1" x14ac:dyDescent="0.3">
      <c r="A67" s="536"/>
      <c r="B67" s="537" t="s">
        <v>50</v>
      </c>
      <c r="C67" s="631">
        <v>75</v>
      </c>
      <c r="D67" s="539" t="s">
        <v>71</v>
      </c>
      <c r="E67" s="537" t="s">
        <v>50</v>
      </c>
      <c r="F67" s="538">
        <v>60</v>
      </c>
      <c r="G67" s="539" t="s">
        <v>71</v>
      </c>
      <c r="H67" s="537" t="s">
        <v>50</v>
      </c>
      <c r="I67" s="538">
        <v>85</v>
      </c>
      <c r="J67" s="539" t="s">
        <v>71</v>
      </c>
      <c r="K67" s="537" t="s">
        <v>50</v>
      </c>
      <c r="L67" s="538">
        <v>85</v>
      </c>
      <c r="M67" s="539" t="s">
        <v>71</v>
      </c>
      <c r="N67" s="537" t="s">
        <v>50</v>
      </c>
      <c r="O67" s="538">
        <v>100</v>
      </c>
      <c r="P67" s="539" t="s">
        <v>71</v>
      </c>
      <c r="Q67" s="537" t="s">
        <v>50</v>
      </c>
      <c r="R67" s="538">
        <v>95</v>
      </c>
      <c r="S67" s="539" t="s">
        <v>71</v>
      </c>
      <c r="T67" s="537" t="s">
        <v>50</v>
      </c>
      <c r="U67" s="538">
        <v>130</v>
      </c>
      <c r="V67" s="539" t="s">
        <v>71</v>
      </c>
      <c r="W67" s="537" t="s">
        <v>50</v>
      </c>
      <c r="X67" s="631">
        <v>80</v>
      </c>
      <c r="Y67" s="539" t="s">
        <v>71</v>
      </c>
      <c r="Z67" s="537" t="s">
        <v>50</v>
      </c>
      <c r="AA67" s="538">
        <v>65</v>
      </c>
      <c r="AB67" s="539" t="s">
        <v>71</v>
      </c>
      <c r="AC67" s="537" t="s">
        <v>50</v>
      </c>
      <c r="AD67" s="538">
        <v>100</v>
      </c>
      <c r="AE67" s="539" t="s">
        <v>71</v>
      </c>
      <c r="AF67" s="537" t="s">
        <v>50</v>
      </c>
      <c r="AG67" s="538">
        <v>120</v>
      </c>
      <c r="AH67" s="539" t="s">
        <v>71</v>
      </c>
      <c r="AI67" s="537" t="s">
        <v>50</v>
      </c>
      <c r="AJ67" s="538">
        <v>65</v>
      </c>
      <c r="AK67" s="539" t="s">
        <v>71</v>
      </c>
      <c r="AL67" s="537" t="s">
        <v>50</v>
      </c>
      <c r="AM67" s="538">
        <v>55</v>
      </c>
      <c r="AN67" s="539" t="s">
        <v>71</v>
      </c>
      <c r="AO67" s="537" t="s">
        <v>50</v>
      </c>
      <c r="AP67" s="538">
        <v>50</v>
      </c>
      <c r="AQ67" s="539" t="s">
        <v>71</v>
      </c>
      <c r="AR67" s="537" t="s">
        <v>50</v>
      </c>
      <c r="AS67" s="631">
        <v>40</v>
      </c>
      <c r="AT67" s="539" t="s">
        <v>71</v>
      </c>
      <c r="AU67" s="537" t="s">
        <v>50</v>
      </c>
      <c r="AV67" s="538">
        <v>100</v>
      </c>
      <c r="AW67" s="539" t="s">
        <v>71</v>
      </c>
      <c r="AX67" s="537" t="s">
        <v>50</v>
      </c>
      <c r="AY67" s="538">
        <v>55</v>
      </c>
      <c r="AZ67" s="539" t="s">
        <v>71</v>
      </c>
    </row>
    <row r="68" spans="1:52" hidden="1" x14ac:dyDescent="0.3">
      <c r="A68" s="26"/>
      <c r="B68" s="235"/>
      <c r="C68" s="146"/>
      <c r="D68" s="591"/>
      <c r="E68" s="287"/>
      <c r="F68" s="172"/>
      <c r="G68" s="279"/>
      <c r="H68" s="422"/>
      <c r="I68" s="422"/>
      <c r="J68" s="422"/>
      <c r="K68" s="287"/>
      <c r="L68" s="172"/>
      <c r="M68" s="279"/>
      <c r="N68" s="287"/>
      <c r="O68" s="422"/>
      <c r="P68" s="279"/>
      <c r="Q68" s="505"/>
      <c r="R68" s="497"/>
      <c r="S68" s="517"/>
      <c r="T68" s="287"/>
      <c r="U68" s="172"/>
      <c r="V68" s="279"/>
      <c r="W68" s="226"/>
      <c r="X68" s="36"/>
      <c r="Y68" s="220"/>
      <c r="Z68" s="226"/>
      <c r="AA68" s="36"/>
      <c r="AB68" s="220"/>
      <c r="AC68" s="287"/>
      <c r="AD68" s="172"/>
      <c r="AE68" s="279"/>
      <c r="AF68" s="287"/>
      <c r="AG68" s="172"/>
      <c r="AH68" s="279"/>
      <c r="AI68" s="287"/>
      <c r="AJ68" s="172"/>
      <c r="AK68" s="279"/>
      <c r="AL68" s="287"/>
      <c r="AM68" s="172"/>
      <c r="AN68" s="279"/>
      <c r="AO68" s="287"/>
      <c r="AP68" s="172"/>
      <c r="AQ68" s="279"/>
      <c r="AR68" s="287"/>
      <c r="AS68" s="422"/>
      <c r="AT68" s="279"/>
      <c r="AU68" s="287"/>
      <c r="AV68" s="172"/>
      <c r="AW68" s="279"/>
      <c r="AX68" s="287"/>
      <c r="AY68" s="172"/>
      <c r="AZ68" s="279"/>
    </row>
    <row r="69" spans="1:52" hidden="1" x14ac:dyDescent="0.3">
      <c r="A69" s="64" t="s">
        <v>72</v>
      </c>
      <c r="B69" s="235"/>
      <c r="D69" s="638"/>
      <c r="E69" s="636"/>
      <c r="F69" s="637"/>
      <c r="G69" s="639"/>
      <c r="H69" s="637"/>
      <c r="I69" s="637"/>
      <c r="J69" s="637"/>
      <c r="K69" s="636"/>
      <c r="L69" s="637"/>
      <c r="M69" s="279"/>
      <c r="N69" s="636"/>
      <c r="O69" s="637"/>
      <c r="P69" s="279"/>
      <c r="Q69" s="505"/>
      <c r="R69" s="637"/>
      <c r="S69" s="517"/>
      <c r="T69" s="287"/>
      <c r="U69" s="637"/>
      <c r="V69" s="279"/>
      <c r="W69" s="226"/>
      <c r="X69" s="637"/>
      <c r="Y69" s="220"/>
      <c r="Z69" s="226"/>
      <c r="AA69" s="637"/>
      <c r="AB69" s="220"/>
      <c r="AC69" s="287"/>
      <c r="AD69" s="637"/>
      <c r="AE69" s="279"/>
      <c r="AF69" s="287"/>
      <c r="AG69" s="637"/>
      <c r="AH69" s="279"/>
      <c r="AI69" s="287"/>
      <c r="AJ69" s="637"/>
      <c r="AK69" s="279"/>
      <c r="AL69" s="287"/>
      <c r="AM69" s="637"/>
      <c r="AN69" s="279"/>
      <c r="AO69" s="287"/>
      <c r="AP69" s="637"/>
      <c r="AQ69" s="279"/>
      <c r="AR69" s="287"/>
      <c r="AS69" s="637"/>
      <c r="AT69" s="279"/>
      <c r="AU69" s="287"/>
      <c r="AV69" s="637"/>
      <c r="AW69" s="279"/>
      <c r="AX69" s="287"/>
      <c r="AY69" s="637"/>
      <c r="AZ69" s="279"/>
    </row>
    <row r="70" spans="1:52" hidden="1" x14ac:dyDescent="0.3">
      <c r="A70" s="26" t="s">
        <v>73</v>
      </c>
      <c r="B70" s="235"/>
      <c r="C70" s="146"/>
      <c r="D70" s="591"/>
      <c r="E70" s="287"/>
      <c r="F70" s="172"/>
      <c r="G70" s="279"/>
      <c r="H70" s="422"/>
      <c r="I70" s="422"/>
      <c r="J70" s="422"/>
      <c r="K70" s="287"/>
      <c r="L70" s="172"/>
      <c r="M70" s="279"/>
      <c r="N70" s="287"/>
      <c r="O70" s="422"/>
      <c r="P70" s="279"/>
      <c r="Q70" s="505"/>
      <c r="R70" s="497"/>
      <c r="S70" s="517"/>
      <c r="T70" s="287"/>
      <c r="U70" s="172"/>
      <c r="V70" s="279"/>
      <c r="W70" s="226"/>
      <c r="X70" s="36"/>
      <c r="Y70" s="220"/>
      <c r="Z70" s="226"/>
      <c r="AA70" s="36"/>
      <c r="AB70" s="220"/>
      <c r="AC70" s="287"/>
      <c r="AD70" s="172"/>
      <c r="AE70" s="279"/>
      <c r="AF70" s="287"/>
      <c r="AG70" s="172"/>
      <c r="AH70" s="279"/>
      <c r="AI70" s="287"/>
      <c r="AJ70" s="172"/>
      <c r="AK70" s="279"/>
      <c r="AL70" s="287"/>
      <c r="AM70" s="172"/>
      <c r="AN70" s="279"/>
      <c r="AO70" s="287"/>
      <c r="AP70" s="172"/>
      <c r="AQ70" s="279"/>
      <c r="AR70" s="287"/>
      <c r="AS70" s="422"/>
      <c r="AT70" s="279"/>
      <c r="AU70" s="287"/>
      <c r="AV70" s="172"/>
      <c r="AW70" s="279"/>
      <c r="AX70" s="287"/>
      <c r="AY70" s="172"/>
      <c r="AZ70" s="279"/>
    </row>
    <row r="71" spans="1:52" hidden="1" x14ac:dyDescent="0.3">
      <c r="A71" s="26" t="s">
        <v>74</v>
      </c>
      <c r="B71" s="235"/>
      <c r="C71" s="146"/>
      <c r="D71" s="591"/>
      <c r="E71" s="287"/>
      <c r="F71" s="172"/>
      <c r="G71" s="279"/>
      <c r="H71" s="422"/>
      <c r="I71" s="422"/>
      <c r="J71" s="422"/>
      <c r="K71" s="287"/>
      <c r="L71" s="172"/>
      <c r="M71" s="279"/>
      <c r="N71" s="287"/>
      <c r="O71" s="422"/>
      <c r="P71" s="279"/>
      <c r="Q71" s="505"/>
      <c r="R71" s="497"/>
      <c r="S71" s="517"/>
      <c r="T71" s="287"/>
      <c r="U71" s="172"/>
      <c r="V71" s="279"/>
      <c r="W71" s="226"/>
      <c r="X71" s="36"/>
      <c r="Y71" s="220"/>
      <c r="Z71" s="226"/>
      <c r="AA71" s="36"/>
      <c r="AB71" s="220"/>
      <c r="AC71" s="287"/>
      <c r="AD71" s="172"/>
      <c r="AE71" s="279"/>
      <c r="AF71" s="287"/>
      <c r="AG71" s="172"/>
      <c r="AH71" s="279"/>
      <c r="AI71" s="287"/>
      <c r="AJ71" s="172"/>
      <c r="AK71" s="279"/>
      <c r="AL71" s="287"/>
      <c r="AM71" s="172"/>
      <c r="AN71" s="279"/>
      <c r="AO71" s="287"/>
      <c r="AP71" s="172"/>
      <c r="AQ71" s="279"/>
      <c r="AR71" s="287"/>
      <c r="AS71" s="422"/>
      <c r="AT71" s="279"/>
      <c r="AU71" s="287"/>
      <c r="AV71" s="172"/>
      <c r="AW71" s="279"/>
      <c r="AX71" s="287"/>
      <c r="AY71" s="172"/>
      <c r="AZ71" s="279"/>
    </row>
    <row r="72" spans="1:52" hidden="1" x14ac:dyDescent="0.3">
      <c r="A72" s="26" t="s">
        <v>75</v>
      </c>
      <c r="B72" s="235"/>
      <c r="C72" s="146"/>
      <c r="D72" s="591"/>
      <c r="E72" s="287"/>
      <c r="F72" s="172"/>
      <c r="G72" s="279"/>
      <c r="H72" s="422"/>
      <c r="I72" s="422"/>
      <c r="J72" s="422"/>
      <c r="K72" s="287"/>
      <c r="L72" s="172"/>
      <c r="M72" s="279"/>
      <c r="N72" s="287"/>
      <c r="O72" s="422"/>
      <c r="P72" s="279"/>
      <c r="Q72" s="505"/>
      <c r="R72" s="497"/>
      <c r="S72" s="517"/>
      <c r="T72" s="287"/>
      <c r="U72" s="172"/>
      <c r="V72" s="279"/>
      <c r="W72" s="226"/>
      <c r="X72" s="36"/>
      <c r="Y72" s="220"/>
      <c r="Z72" s="226"/>
      <c r="AA72" s="36"/>
      <c r="AB72" s="220"/>
      <c r="AC72" s="287"/>
      <c r="AD72" s="172"/>
      <c r="AE72" s="279"/>
      <c r="AF72" s="287"/>
      <c r="AG72" s="172"/>
      <c r="AH72" s="279"/>
      <c r="AI72" s="287"/>
      <c r="AJ72" s="172"/>
      <c r="AK72" s="279"/>
      <c r="AL72" s="287"/>
      <c r="AM72" s="172"/>
      <c r="AN72" s="279"/>
      <c r="AO72" s="287"/>
      <c r="AP72" s="172"/>
      <c r="AQ72" s="279"/>
      <c r="AR72" s="287"/>
      <c r="AS72" s="422"/>
      <c r="AT72" s="279"/>
      <c r="AU72" s="287"/>
      <c r="AV72" s="172"/>
      <c r="AW72" s="279"/>
      <c r="AX72" s="287"/>
      <c r="AY72" s="172"/>
      <c r="AZ72" s="279"/>
    </row>
    <row r="73" spans="1:52" hidden="1" x14ac:dyDescent="0.3">
      <c r="A73" s="26" t="s">
        <v>76</v>
      </c>
      <c r="B73" s="255"/>
      <c r="C73" s="257" t="s">
        <v>77</v>
      </c>
      <c r="D73" s="220" t="s">
        <v>78</v>
      </c>
      <c r="E73" s="255"/>
      <c r="F73" s="257" t="s">
        <v>77</v>
      </c>
      <c r="G73" s="220" t="s">
        <v>78</v>
      </c>
      <c r="H73" s="303"/>
      <c r="I73" s="257" t="s">
        <v>77</v>
      </c>
      <c r="J73" s="220" t="s">
        <v>78</v>
      </c>
      <c r="K73" s="255"/>
      <c r="L73" s="257" t="s">
        <v>77</v>
      </c>
      <c r="M73" s="220" t="s">
        <v>78</v>
      </c>
      <c r="N73" s="255"/>
      <c r="O73" s="257" t="s">
        <v>77</v>
      </c>
      <c r="P73" s="220" t="s">
        <v>78</v>
      </c>
      <c r="Q73" s="255"/>
      <c r="R73" s="520" t="s">
        <v>77</v>
      </c>
      <c r="S73" s="119" t="s">
        <v>78</v>
      </c>
      <c r="T73" s="255"/>
      <c r="U73" s="257" t="s">
        <v>77</v>
      </c>
      <c r="V73" s="220" t="s">
        <v>78</v>
      </c>
      <c r="W73" s="255"/>
      <c r="X73" s="257" t="s">
        <v>77</v>
      </c>
      <c r="Y73" s="220" t="s">
        <v>78</v>
      </c>
      <c r="Z73" s="255"/>
      <c r="AA73" s="257" t="s">
        <v>77</v>
      </c>
      <c r="AB73" s="220" t="s">
        <v>78</v>
      </c>
      <c r="AC73" s="255"/>
      <c r="AD73" s="257" t="s">
        <v>77</v>
      </c>
      <c r="AE73" s="220" t="s">
        <v>78</v>
      </c>
      <c r="AF73" s="255"/>
      <c r="AG73" s="257" t="s">
        <v>77</v>
      </c>
      <c r="AH73" s="220" t="s">
        <v>78</v>
      </c>
      <c r="AI73" s="255"/>
      <c r="AJ73" s="257" t="s">
        <v>77</v>
      </c>
      <c r="AK73" s="220" t="s">
        <v>78</v>
      </c>
      <c r="AL73" s="255"/>
      <c r="AM73" s="257" t="s">
        <v>77</v>
      </c>
      <c r="AN73" s="220" t="s">
        <v>78</v>
      </c>
      <c r="AO73" s="255"/>
      <c r="AP73" s="257" t="s">
        <v>77</v>
      </c>
      <c r="AQ73" s="220" t="s">
        <v>78</v>
      </c>
      <c r="AR73" s="255"/>
      <c r="AS73" s="257" t="s">
        <v>77</v>
      </c>
      <c r="AT73" s="220" t="s">
        <v>78</v>
      </c>
      <c r="AU73" s="255"/>
      <c r="AV73" s="257" t="s">
        <v>77</v>
      </c>
      <c r="AW73" s="220" t="s">
        <v>78</v>
      </c>
      <c r="AX73" s="255"/>
      <c r="AY73" s="257" t="s">
        <v>77</v>
      </c>
      <c r="AZ73" s="220" t="s">
        <v>78</v>
      </c>
    </row>
    <row r="74" spans="1:52" hidden="1" x14ac:dyDescent="0.3">
      <c r="A74" s="26"/>
      <c r="B74" s="235"/>
      <c r="C74" s="172"/>
      <c r="D74" s="279"/>
      <c r="E74" s="287"/>
      <c r="F74" s="172"/>
      <c r="G74" s="279"/>
      <c r="H74" s="422"/>
      <c r="I74" s="422"/>
      <c r="J74" s="422"/>
      <c r="K74" s="287"/>
      <c r="L74" s="172"/>
      <c r="M74" s="279"/>
      <c r="N74" s="287"/>
      <c r="O74" s="422"/>
      <c r="P74" s="279"/>
      <c r="Q74" s="505"/>
      <c r="R74" s="497"/>
      <c r="S74" s="517"/>
      <c r="T74" s="287"/>
      <c r="U74" s="172"/>
      <c r="V74" s="279"/>
      <c r="W74" s="226"/>
      <c r="X74" s="36"/>
      <c r="Y74" s="220"/>
      <c r="Z74" s="226"/>
      <c r="AA74" s="36"/>
      <c r="AB74" s="220"/>
      <c r="AC74" s="287"/>
      <c r="AD74" s="172"/>
      <c r="AE74" s="279"/>
      <c r="AF74" s="287"/>
      <c r="AG74" s="172"/>
      <c r="AH74" s="279"/>
      <c r="AI74" s="287"/>
      <c r="AJ74" s="172"/>
      <c r="AK74" s="279"/>
      <c r="AL74" s="287"/>
      <c r="AM74" s="172"/>
      <c r="AN74" s="279"/>
      <c r="AO74" s="287"/>
      <c r="AP74" s="172"/>
      <c r="AQ74" s="279"/>
      <c r="AR74" s="287"/>
      <c r="AS74" s="422"/>
      <c r="AT74" s="279"/>
      <c r="AU74" s="287"/>
      <c r="AV74" s="172"/>
      <c r="AW74" s="279"/>
      <c r="AX74" s="287"/>
      <c r="AY74" s="172"/>
      <c r="AZ74" s="279"/>
    </row>
    <row r="75" spans="1:52" hidden="1" x14ac:dyDescent="0.3">
      <c r="A75" s="12"/>
      <c r="B75" s="231"/>
      <c r="C75" s="283"/>
      <c r="D75" s="299"/>
      <c r="E75" s="285"/>
      <c r="F75" s="283"/>
      <c r="G75" s="299"/>
      <c r="H75" s="612"/>
      <c r="I75" s="612"/>
      <c r="J75" s="612"/>
      <c r="K75" s="285"/>
      <c r="L75" s="283"/>
      <c r="M75" s="299"/>
      <c r="N75" s="285"/>
      <c r="O75" s="612"/>
      <c r="P75" s="299"/>
      <c r="Q75" s="285"/>
      <c r="R75" s="283"/>
      <c r="S75" s="299"/>
      <c r="T75" s="285"/>
      <c r="U75" s="283"/>
      <c r="V75" s="299"/>
      <c r="W75" s="232"/>
      <c r="X75" s="211"/>
      <c r="Y75" s="258"/>
      <c r="Z75" s="232"/>
      <c r="AA75" s="211"/>
      <c r="AB75" s="258"/>
      <c r="AC75" s="285"/>
      <c r="AD75" s="283"/>
      <c r="AE75" s="299"/>
      <c r="AF75" s="285"/>
      <c r="AG75" s="283"/>
      <c r="AH75" s="299"/>
      <c r="AI75" s="285"/>
      <c r="AJ75" s="283"/>
      <c r="AK75" s="299"/>
      <c r="AL75" s="285"/>
      <c r="AM75" s="283"/>
      <c r="AN75" s="299"/>
      <c r="AO75" s="285"/>
      <c r="AP75" s="283"/>
      <c r="AQ75" s="299"/>
      <c r="AR75" s="285"/>
      <c r="AS75" s="612"/>
      <c r="AT75" s="299"/>
      <c r="AU75" s="285"/>
      <c r="AV75" s="283"/>
      <c r="AW75" s="299"/>
      <c r="AX75" s="285"/>
      <c r="AY75" s="283"/>
      <c r="AZ75" s="299"/>
    </row>
    <row r="76" spans="1:52" hidden="1" x14ac:dyDescent="0.3">
      <c r="A76" s="81" t="s">
        <v>79</v>
      </c>
      <c r="B76" s="235"/>
      <c r="C76" s="172"/>
      <c r="D76" s="279"/>
      <c r="E76" s="287"/>
      <c r="F76" s="172"/>
      <c r="G76" s="279"/>
      <c r="H76" s="422"/>
      <c r="I76" s="422"/>
      <c r="J76" s="422"/>
      <c r="K76" s="287"/>
      <c r="L76" s="172"/>
      <c r="M76" s="279"/>
      <c r="N76" s="287"/>
      <c r="O76" s="422"/>
      <c r="P76" s="279"/>
      <c r="Q76" s="505"/>
      <c r="R76" s="497"/>
      <c r="S76" s="517"/>
      <c r="T76" s="287"/>
      <c r="U76" s="172"/>
      <c r="V76" s="279"/>
      <c r="W76" s="226"/>
      <c r="X76" s="36"/>
      <c r="Y76" s="220"/>
      <c r="Z76" s="226"/>
      <c r="AA76" s="36"/>
      <c r="AB76" s="220"/>
      <c r="AC76" s="287"/>
      <c r="AD76" s="172"/>
      <c r="AE76" s="279"/>
      <c r="AF76" s="287"/>
      <c r="AG76" s="172"/>
      <c r="AH76" s="279"/>
      <c r="AI76" s="287"/>
      <c r="AJ76" s="172"/>
      <c r="AK76" s="279"/>
      <c r="AL76" s="287"/>
      <c r="AM76" s="172"/>
      <c r="AN76" s="279"/>
      <c r="AO76" s="287"/>
      <c r="AP76" s="172"/>
      <c r="AQ76" s="279"/>
      <c r="AR76" s="287"/>
      <c r="AS76" s="422"/>
      <c r="AT76" s="279"/>
      <c r="AU76" s="287"/>
      <c r="AV76" s="172"/>
      <c r="AW76" s="279"/>
      <c r="AX76" s="287"/>
      <c r="AY76" s="172"/>
      <c r="AZ76" s="279"/>
    </row>
    <row r="77" spans="1:52" hidden="1" x14ac:dyDescent="0.3">
      <c r="A77" s="79" t="s">
        <v>80</v>
      </c>
      <c r="B77" s="68" t="s">
        <v>50</v>
      </c>
      <c r="C77" s="629">
        <v>75</v>
      </c>
      <c r="D77" s="70" t="s">
        <v>68</v>
      </c>
      <c r="E77" s="68" t="s">
        <v>50</v>
      </c>
      <c r="F77" s="629">
        <v>65</v>
      </c>
      <c r="G77" s="70" t="s">
        <v>68</v>
      </c>
      <c r="H77" s="68" t="s">
        <v>50</v>
      </c>
      <c r="I77" s="629">
        <v>75</v>
      </c>
      <c r="J77" s="70" t="s">
        <v>68</v>
      </c>
      <c r="K77" s="68" t="s">
        <v>50</v>
      </c>
      <c r="L77" s="123">
        <v>80</v>
      </c>
      <c r="M77" s="70" t="s">
        <v>68</v>
      </c>
      <c r="N77" s="68" t="s">
        <v>50</v>
      </c>
      <c r="O77" s="629">
        <v>75</v>
      </c>
      <c r="P77" s="70" t="s">
        <v>68</v>
      </c>
      <c r="Q77" s="68" t="s">
        <v>50</v>
      </c>
      <c r="R77" s="521">
        <v>90</v>
      </c>
      <c r="S77" s="507" t="s">
        <v>68</v>
      </c>
      <c r="T77" s="68" t="s">
        <v>50</v>
      </c>
      <c r="U77" s="123">
        <v>140</v>
      </c>
      <c r="V77" s="70" t="s">
        <v>68</v>
      </c>
      <c r="W77" s="68" t="s">
        <v>50</v>
      </c>
      <c r="X77" s="629">
        <v>90</v>
      </c>
      <c r="Y77" s="70" t="s">
        <v>68</v>
      </c>
      <c r="Z77" s="68" t="s">
        <v>50</v>
      </c>
      <c r="AA77" s="123">
        <v>75</v>
      </c>
      <c r="AB77" s="70" t="s">
        <v>68</v>
      </c>
      <c r="AC77" s="68" t="s">
        <v>50</v>
      </c>
      <c r="AD77" s="123">
        <v>90</v>
      </c>
      <c r="AE77" s="70" t="s">
        <v>68</v>
      </c>
      <c r="AF77" s="68" t="s">
        <v>50</v>
      </c>
      <c r="AG77" s="123">
        <v>145</v>
      </c>
      <c r="AH77" s="70" t="s">
        <v>68</v>
      </c>
      <c r="AI77" s="68" t="s">
        <v>50</v>
      </c>
      <c r="AJ77" s="123">
        <v>70</v>
      </c>
      <c r="AK77" s="70" t="s">
        <v>68</v>
      </c>
      <c r="AL77" s="68" t="s">
        <v>50</v>
      </c>
      <c r="AM77" s="123">
        <v>60</v>
      </c>
      <c r="AN77" s="70" t="s">
        <v>68</v>
      </c>
      <c r="AO77" s="68" t="s">
        <v>50</v>
      </c>
      <c r="AP77" s="123">
        <v>35</v>
      </c>
      <c r="AQ77" s="70" t="s">
        <v>68</v>
      </c>
      <c r="AR77" s="68" t="s">
        <v>50</v>
      </c>
      <c r="AS77" s="629">
        <v>30</v>
      </c>
      <c r="AT77" s="70" t="s">
        <v>68</v>
      </c>
      <c r="AU77" s="68" t="s">
        <v>50</v>
      </c>
      <c r="AV77" s="123">
        <v>165</v>
      </c>
      <c r="AW77" s="70" t="s">
        <v>68</v>
      </c>
      <c r="AX77" s="68" t="s">
        <v>50</v>
      </c>
      <c r="AY77" s="123">
        <v>105</v>
      </c>
      <c r="AZ77" s="70" t="s">
        <v>68</v>
      </c>
    </row>
    <row r="78" spans="1:52" hidden="1" x14ac:dyDescent="0.3">
      <c r="A78" s="530"/>
      <c r="B78" s="531" t="s">
        <v>50</v>
      </c>
      <c r="C78" s="532">
        <v>45</v>
      </c>
      <c r="D78" s="527" t="s">
        <v>68</v>
      </c>
      <c r="E78" s="531" t="s">
        <v>50</v>
      </c>
      <c r="F78" s="634">
        <v>55</v>
      </c>
      <c r="G78" s="527" t="s">
        <v>68</v>
      </c>
      <c r="H78" s="531" t="s">
        <v>50</v>
      </c>
      <c r="I78" s="634">
        <v>55</v>
      </c>
      <c r="J78" s="527" t="s">
        <v>68</v>
      </c>
      <c r="K78" s="531" t="s">
        <v>50</v>
      </c>
      <c r="L78" s="532">
        <v>50</v>
      </c>
      <c r="M78" s="527" t="s">
        <v>68</v>
      </c>
      <c r="N78" s="531" t="s">
        <v>50</v>
      </c>
      <c r="O78" s="634">
        <v>50</v>
      </c>
      <c r="P78" s="527" t="s">
        <v>68</v>
      </c>
      <c r="Q78" s="531" t="s">
        <v>50</v>
      </c>
      <c r="R78" s="532">
        <v>80</v>
      </c>
      <c r="S78" s="527" t="s">
        <v>68</v>
      </c>
      <c r="T78" s="531" t="s">
        <v>50</v>
      </c>
      <c r="U78" s="532">
        <v>105</v>
      </c>
      <c r="V78" s="527" t="s">
        <v>68</v>
      </c>
      <c r="W78" s="531" t="s">
        <v>50</v>
      </c>
      <c r="X78" s="634">
        <v>55</v>
      </c>
      <c r="Y78" s="527" t="s">
        <v>68</v>
      </c>
      <c r="Z78" s="531" t="s">
        <v>50</v>
      </c>
      <c r="AA78" s="532">
        <v>45</v>
      </c>
      <c r="AB78" s="527" t="s">
        <v>68</v>
      </c>
      <c r="AC78" s="531" t="s">
        <v>50</v>
      </c>
      <c r="AD78" s="532">
        <v>65</v>
      </c>
      <c r="AE78" s="527" t="s">
        <v>68</v>
      </c>
      <c r="AF78" s="531" t="s">
        <v>50</v>
      </c>
      <c r="AG78" s="532">
        <v>105</v>
      </c>
      <c r="AH78" s="527" t="s">
        <v>68</v>
      </c>
      <c r="AI78" s="531" t="s">
        <v>50</v>
      </c>
      <c r="AJ78" s="532">
        <v>40</v>
      </c>
      <c r="AK78" s="527" t="s">
        <v>68</v>
      </c>
      <c r="AL78" s="531" t="s">
        <v>50</v>
      </c>
      <c r="AM78" s="532">
        <v>40</v>
      </c>
      <c r="AN78" s="527" t="s">
        <v>68</v>
      </c>
      <c r="AO78" s="531" t="s">
        <v>50</v>
      </c>
      <c r="AP78" s="532">
        <v>28</v>
      </c>
      <c r="AQ78" s="527" t="s">
        <v>68</v>
      </c>
      <c r="AR78" s="531" t="s">
        <v>50</v>
      </c>
      <c r="AS78" s="634">
        <v>20</v>
      </c>
      <c r="AT78" s="527" t="s">
        <v>68</v>
      </c>
      <c r="AU78" s="531" t="s">
        <v>50</v>
      </c>
      <c r="AV78" s="532">
        <v>145</v>
      </c>
      <c r="AW78" s="527" t="s">
        <v>68</v>
      </c>
      <c r="AX78" s="531" t="s">
        <v>50</v>
      </c>
      <c r="AY78" s="532">
        <v>85</v>
      </c>
      <c r="AZ78" s="527" t="s">
        <v>68</v>
      </c>
    </row>
    <row r="79" spans="1:52" hidden="1" x14ac:dyDescent="0.3">
      <c r="A79" s="79" t="s">
        <v>81</v>
      </c>
      <c r="B79" s="259"/>
      <c r="C79" s="123"/>
      <c r="D79" s="70"/>
      <c r="E79" s="255"/>
      <c r="F79" s="123"/>
      <c r="G79" s="70"/>
      <c r="H79" s="255"/>
      <c r="I79" s="123"/>
      <c r="J79" s="70"/>
      <c r="K79" s="255"/>
      <c r="L79" s="123"/>
      <c r="M79" s="70"/>
      <c r="N79" s="255"/>
      <c r="O79" s="607"/>
      <c r="P79" s="70"/>
      <c r="Q79" s="255"/>
      <c r="R79" s="521"/>
      <c r="S79" s="507"/>
      <c r="T79" s="255"/>
      <c r="U79" s="123"/>
      <c r="V79" s="70"/>
      <c r="W79" s="255"/>
      <c r="X79" s="123"/>
      <c r="Y79" s="70"/>
      <c r="Z79" s="255"/>
      <c r="AA79" s="123"/>
      <c r="AB79" s="70"/>
      <c r="AC79" s="255"/>
      <c r="AD79" s="123"/>
      <c r="AE79" s="70"/>
      <c r="AF79" s="255"/>
      <c r="AG79" s="123"/>
      <c r="AH79" s="70"/>
      <c r="AI79" s="255"/>
      <c r="AJ79" s="123"/>
      <c r="AK79" s="70"/>
      <c r="AL79" s="255"/>
      <c r="AM79" s="123"/>
      <c r="AN79" s="70"/>
      <c r="AO79" s="255"/>
      <c r="AP79" s="123"/>
      <c r="AQ79" s="70"/>
      <c r="AR79" s="255"/>
      <c r="AS79" s="607"/>
      <c r="AT79" s="70"/>
      <c r="AU79" s="255"/>
      <c r="AV79" s="123"/>
      <c r="AW79" s="70"/>
      <c r="AX79" s="255"/>
      <c r="AY79" s="123"/>
      <c r="AZ79" s="70"/>
    </row>
    <row r="80" spans="1:52" hidden="1" x14ac:dyDescent="0.3">
      <c r="A80" s="124"/>
      <c r="B80" s="235"/>
      <c r="C80" s="172"/>
      <c r="D80" s="279"/>
      <c r="E80" s="287"/>
      <c r="F80" s="172"/>
      <c r="G80" s="279"/>
      <c r="H80" s="287"/>
      <c r="I80" s="172"/>
      <c r="J80" s="279"/>
      <c r="K80" s="287"/>
      <c r="L80" s="172"/>
      <c r="M80" s="279"/>
      <c r="N80" s="287"/>
      <c r="O80" s="422"/>
      <c r="P80" s="279"/>
      <c r="Q80" s="505"/>
      <c r="R80" s="497"/>
      <c r="S80" s="517"/>
      <c r="T80" s="287"/>
      <c r="U80" s="172"/>
      <c r="V80" s="279"/>
      <c r="W80" s="226"/>
      <c r="X80" s="36"/>
      <c r="Y80" s="220"/>
      <c r="Z80" s="226"/>
      <c r="AA80" s="36"/>
      <c r="AB80" s="220"/>
      <c r="AC80" s="287"/>
      <c r="AD80" s="172"/>
      <c r="AE80" s="279"/>
      <c r="AF80" s="287"/>
      <c r="AG80" s="172"/>
      <c r="AH80" s="279"/>
      <c r="AI80" s="287"/>
      <c r="AJ80" s="172"/>
      <c r="AK80" s="279"/>
      <c r="AL80" s="287"/>
      <c r="AM80" s="172"/>
      <c r="AN80" s="279"/>
      <c r="AO80" s="287"/>
      <c r="AP80" s="172"/>
      <c r="AQ80" s="279"/>
      <c r="AR80" s="287"/>
      <c r="AS80" s="422"/>
      <c r="AT80" s="279"/>
      <c r="AU80" s="287"/>
      <c r="AV80" s="172"/>
      <c r="AW80" s="279"/>
      <c r="AX80" s="287"/>
      <c r="AY80" s="172"/>
      <c r="AZ80" s="279"/>
    </row>
    <row r="81" spans="1:52" hidden="1" x14ac:dyDescent="0.3">
      <c r="A81" s="12"/>
      <c r="B81" s="231"/>
      <c r="C81" s="283"/>
      <c r="D81" s="299"/>
      <c r="E81" s="285"/>
      <c r="F81" s="283"/>
      <c r="G81" s="299"/>
      <c r="H81" s="285"/>
      <c r="I81" s="283"/>
      <c r="J81" s="299"/>
      <c r="K81" s="285"/>
      <c r="L81" s="283"/>
      <c r="M81" s="299"/>
      <c r="N81" s="285"/>
      <c r="O81" s="612"/>
      <c r="P81" s="299"/>
      <c r="Q81" s="285"/>
      <c r="R81" s="283"/>
      <c r="S81" s="299"/>
      <c r="T81" s="285"/>
      <c r="U81" s="283"/>
      <c r="V81" s="299"/>
      <c r="W81" s="232"/>
      <c r="X81" s="211"/>
      <c r="Y81" s="258"/>
      <c r="Z81" s="232"/>
      <c r="AA81" s="211"/>
      <c r="AB81" s="258"/>
      <c r="AC81" s="285"/>
      <c r="AD81" s="283"/>
      <c r="AE81" s="299"/>
      <c r="AF81" s="285"/>
      <c r="AG81" s="283"/>
      <c r="AH81" s="299"/>
      <c r="AI81" s="285"/>
      <c r="AJ81" s="283"/>
      <c r="AK81" s="299"/>
      <c r="AL81" s="285"/>
      <c r="AM81" s="283"/>
      <c r="AN81" s="299"/>
      <c r="AO81" s="285"/>
      <c r="AP81" s="283"/>
      <c r="AQ81" s="299"/>
      <c r="AR81" s="285"/>
      <c r="AS81" s="612"/>
      <c r="AT81" s="299"/>
      <c r="AU81" s="285"/>
      <c r="AV81" s="283"/>
      <c r="AW81" s="299"/>
      <c r="AX81" s="285"/>
      <c r="AY81" s="283"/>
      <c r="AZ81" s="299"/>
    </row>
    <row r="82" spans="1:52" hidden="1" x14ac:dyDescent="0.3">
      <c r="A82" s="64" t="s">
        <v>82</v>
      </c>
      <c r="B82" s="235"/>
      <c r="C82" s="172"/>
      <c r="D82" s="279"/>
      <c r="E82" s="287"/>
      <c r="F82" s="172"/>
      <c r="G82" s="279"/>
      <c r="H82" s="287"/>
      <c r="I82" s="172"/>
      <c r="J82" s="279"/>
      <c r="K82" s="287"/>
      <c r="L82" s="172"/>
      <c r="M82" s="279"/>
      <c r="N82" s="287"/>
      <c r="O82" s="422"/>
      <c r="P82" s="279"/>
      <c r="Q82" s="505"/>
      <c r="R82" s="497"/>
      <c r="S82" s="517"/>
      <c r="T82" s="287"/>
      <c r="U82" s="172"/>
      <c r="V82" s="279"/>
      <c r="W82" s="226"/>
      <c r="X82" s="36"/>
      <c r="Y82" s="220"/>
      <c r="Z82" s="226"/>
      <c r="AA82" s="36"/>
      <c r="AB82" s="220"/>
      <c r="AC82" s="287"/>
      <c r="AD82" s="172"/>
      <c r="AE82" s="279"/>
      <c r="AF82" s="287"/>
      <c r="AG82" s="172"/>
      <c r="AH82" s="279"/>
      <c r="AI82" s="287"/>
      <c r="AJ82" s="172"/>
      <c r="AK82" s="279"/>
      <c r="AL82" s="287"/>
      <c r="AM82" s="172"/>
      <c r="AN82" s="279"/>
      <c r="AO82" s="287"/>
      <c r="AP82" s="172"/>
      <c r="AQ82" s="279"/>
      <c r="AR82" s="287"/>
      <c r="AS82" s="422"/>
      <c r="AT82" s="279"/>
      <c r="AU82" s="287"/>
      <c r="AV82" s="172"/>
      <c r="AW82" s="279"/>
      <c r="AX82" s="287"/>
      <c r="AY82" s="172"/>
      <c r="AZ82" s="279"/>
    </row>
    <row r="83" spans="1:52" hidden="1" x14ac:dyDescent="0.3">
      <c r="A83" s="26" t="s">
        <v>83</v>
      </c>
      <c r="B83" s="235"/>
      <c r="C83" s="172"/>
      <c r="D83" s="279"/>
      <c r="E83" s="287"/>
      <c r="F83" s="172"/>
      <c r="G83" s="279"/>
      <c r="H83" s="287"/>
      <c r="I83" s="172"/>
      <c r="J83" s="279"/>
      <c r="K83" s="287"/>
      <c r="L83" s="172"/>
      <c r="M83" s="279"/>
      <c r="N83" s="287"/>
      <c r="O83" s="422"/>
      <c r="P83" s="279"/>
      <c r="Q83" s="505"/>
      <c r="R83" s="497"/>
      <c r="S83" s="517"/>
      <c r="T83" s="287"/>
      <c r="U83" s="172"/>
      <c r="V83" s="279"/>
      <c r="W83" s="226"/>
      <c r="X83" s="36"/>
      <c r="Y83" s="220"/>
      <c r="Z83" s="226"/>
      <c r="AA83" s="36"/>
      <c r="AB83" s="220"/>
      <c r="AC83" s="287"/>
      <c r="AD83" s="172"/>
      <c r="AE83" s="279"/>
      <c r="AF83" s="287"/>
      <c r="AG83" s="172"/>
      <c r="AH83" s="279"/>
      <c r="AI83" s="287"/>
      <c r="AJ83" s="172"/>
      <c r="AK83" s="279"/>
      <c r="AL83" s="287"/>
      <c r="AM83" s="172"/>
      <c r="AN83" s="279"/>
      <c r="AO83" s="287"/>
      <c r="AP83" s="172"/>
      <c r="AQ83" s="279"/>
      <c r="AR83" s="287"/>
      <c r="AS83" s="422"/>
      <c r="AT83" s="279"/>
      <c r="AU83" s="287"/>
      <c r="AV83" s="172"/>
      <c r="AW83" s="279"/>
      <c r="AX83" s="287"/>
      <c r="AY83" s="172"/>
      <c r="AZ83" s="279"/>
    </row>
    <row r="84" spans="1:52" hidden="1" x14ac:dyDescent="0.3">
      <c r="A84" s="26" t="s">
        <v>84</v>
      </c>
      <c r="B84" s="128" t="s">
        <v>50</v>
      </c>
      <c r="C84" s="69">
        <v>30</v>
      </c>
      <c r="D84" s="70" t="s">
        <v>22</v>
      </c>
      <c r="E84" s="128" t="s">
        <v>50</v>
      </c>
      <c r="F84" s="69">
        <v>30</v>
      </c>
      <c r="G84" s="70" t="s">
        <v>22</v>
      </c>
      <c r="H84" s="128" t="s">
        <v>50</v>
      </c>
      <c r="I84" s="69">
        <v>35</v>
      </c>
      <c r="J84" s="70" t="s">
        <v>22</v>
      </c>
      <c r="K84" s="128" t="s">
        <v>50</v>
      </c>
      <c r="L84" s="69">
        <v>35</v>
      </c>
      <c r="M84" s="70" t="s">
        <v>22</v>
      </c>
      <c r="N84" s="128" t="s">
        <v>50</v>
      </c>
      <c r="O84" s="630">
        <v>40</v>
      </c>
      <c r="P84" s="70" t="s">
        <v>22</v>
      </c>
      <c r="Q84" s="128" t="s">
        <v>50</v>
      </c>
      <c r="R84" s="645">
        <v>40</v>
      </c>
      <c r="S84" s="507" t="s">
        <v>22</v>
      </c>
      <c r="T84" s="128" t="s">
        <v>50</v>
      </c>
      <c r="U84" s="69">
        <v>35</v>
      </c>
      <c r="V84" s="70" t="s">
        <v>22</v>
      </c>
      <c r="W84" s="128" t="s">
        <v>50</v>
      </c>
      <c r="X84" s="630">
        <v>20</v>
      </c>
      <c r="Y84" s="70" t="s">
        <v>22</v>
      </c>
      <c r="Z84" s="128" t="s">
        <v>50</v>
      </c>
      <c r="AA84" s="69">
        <v>30</v>
      </c>
      <c r="AB84" s="70" t="s">
        <v>22</v>
      </c>
      <c r="AC84" s="128" t="s">
        <v>50</v>
      </c>
      <c r="AD84" s="69">
        <v>30</v>
      </c>
      <c r="AE84" s="70" t="s">
        <v>22</v>
      </c>
      <c r="AF84" s="128" t="s">
        <v>50</v>
      </c>
      <c r="AG84" s="69">
        <v>35</v>
      </c>
      <c r="AH84" s="70" t="s">
        <v>22</v>
      </c>
      <c r="AI84" s="128" t="s">
        <v>50</v>
      </c>
      <c r="AJ84" s="69">
        <v>35</v>
      </c>
      <c r="AK84" s="70" t="s">
        <v>22</v>
      </c>
      <c r="AL84" s="128" t="s">
        <v>50</v>
      </c>
      <c r="AM84" s="69">
        <v>35</v>
      </c>
      <c r="AN84" s="70" t="s">
        <v>22</v>
      </c>
      <c r="AO84" s="128" t="s">
        <v>50</v>
      </c>
      <c r="AP84" s="69">
        <v>30</v>
      </c>
      <c r="AQ84" s="70" t="s">
        <v>22</v>
      </c>
      <c r="AR84" s="128" t="s">
        <v>50</v>
      </c>
      <c r="AS84" s="630">
        <v>30</v>
      </c>
      <c r="AT84" s="70" t="s">
        <v>22</v>
      </c>
      <c r="AU84" s="128" t="s">
        <v>50</v>
      </c>
      <c r="AV84" s="69">
        <v>45</v>
      </c>
      <c r="AW84" s="70" t="s">
        <v>22</v>
      </c>
      <c r="AX84" s="128" t="s">
        <v>50</v>
      </c>
      <c r="AY84" s="69">
        <v>45</v>
      </c>
      <c r="AZ84" s="70" t="s">
        <v>22</v>
      </c>
    </row>
    <row r="85" spans="1:52" hidden="1" x14ac:dyDescent="0.3">
      <c r="A85" s="525"/>
      <c r="B85" s="528" t="s">
        <v>50</v>
      </c>
      <c r="C85" s="529">
        <v>20</v>
      </c>
      <c r="D85" s="527" t="s">
        <v>22</v>
      </c>
      <c r="E85" s="528" t="s">
        <v>50</v>
      </c>
      <c r="F85" s="529">
        <v>20</v>
      </c>
      <c r="G85" s="527" t="s">
        <v>22</v>
      </c>
      <c r="H85" s="528" t="s">
        <v>50</v>
      </c>
      <c r="I85" s="529">
        <v>25</v>
      </c>
      <c r="J85" s="527" t="s">
        <v>22</v>
      </c>
      <c r="K85" s="528" t="s">
        <v>50</v>
      </c>
      <c r="L85" s="529">
        <v>25</v>
      </c>
      <c r="M85" s="527" t="s">
        <v>22</v>
      </c>
      <c r="N85" s="528" t="s">
        <v>50</v>
      </c>
      <c r="O85" s="642">
        <v>30</v>
      </c>
      <c r="P85" s="527" t="s">
        <v>22</v>
      </c>
      <c r="Q85" s="528" t="s">
        <v>50</v>
      </c>
      <c r="R85" s="642">
        <v>30</v>
      </c>
      <c r="S85" s="527" t="s">
        <v>22</v>
      </c>
      <c r="T85" s="528" t="s">
        <v>50</v>
      </c>
      <c r="U85" s="529">
        <v>25</v>
      </c>
      <c r="V85" s="527" t="s">
        <v>22</v>
      </c>
      <c r="W85" s="528" t="s">
        <v>50</v>
      </c>
      <c r="X85" s="642">
        <v>15</v>
      </c>
      <c r="Y85" s="527" t="s">
        <v>22</v>
      </c>
      <c r="Z85" s="528" t="s">
        <v>50</v>
      </c>
      <c r="AA85" s="529">
        <v>20</v>
      </c>
      <c r="AB85" s="527" t="s">
        <v>22</v>
      </c>
      <c r="AC85" s="528" t="s">
        <v>50</v>
      </c>
      <c r="AD85" s="529">
        <v>20</v>
      </c>
      <c r="AE85" s="527" t="s">
        <v>22</v>
      </c>
      <c r="AF85" s="528" t="s">
        <v>50</v>
      </c>
      <c r="AG85" s="529">
        <v>25</v>
      </c>
      <c r="AH85" s="527" t="s">
        <v>22</v>
      </c>
      <c r="AI85" s="528" t="s">
        <v>50</v>
      </c>
      <c r="AJ85" s="529">
        <v>25</v>
      </c>
      <c r="AK85" s="527" t="s">
        <v>22</v>
      </c>
      <c r="AL85" s="528" t="s">
        <v>50</v>
      </c>
      <c r="AM85" s="529">
        <v>25</v>
      </c>
      <c r="AN85" s="527" t="s">
        <v>22</v>
      </c>
      <c r="AO85" s="528" t="s">
        <v>50</v>
      </c>
      <c r="AP85" s="529">
        <v>20</v>
      </c>
      <c r="AQ85" s="527" t="s">
        <v>22</v>
      </c>
      <c r="AR85" s="528" t="s">
        <v>50</v>
      </c>
      <c r="AS85" s="642">
        <v>20</v>
      </c>
      <c r="AT85" s="527" t="s">
        <v>22</v>
      </c>
      <c r="AU85" s="528" t="s">
        <v>50</v>
      </c>
      <c r="AV85" s="529">
        <v>35</v>
      </c>
      <c r="AW85" s="527" t="s">
        <v>22</v>
      </c>
      <c r="AX85" s="528" t="s">
        <v>50</v>
      </c>
      <c r="AY85" s="529">
        <v>35</v>
      </c>
      <c r="AZ85" s="527" t="s">
        <v>22</v>
      </c>
    </row>
    <row r="86" spans="1:52" hidden="1" x14ac:dyDescent="0.3">
      <c r="A86" s="48"/>
      <c r="B86" s="227"/>
      <c r="C86" s="280"/>
      <c r="D86" s="293"/>
      <c r="E86" s="282"/>
      <c r="F86" s="280"/>
      <c r="G86" s="293"/>
      <c r="H86" s="608"/>
      <c r="I86" s="608"/>
      <c r="J86" s="608"/>
      <c r="K86" s="282"/>
      <c r="L86" s="280"/>
      <c r="M86" s="293"/>
      <c r="N86" s="282"/>
      <c r="O86" s="608"/>
      <c r="P86" s="293"/>
      <c r="Q86" s="501"/>
      <c r="R86" s="502"/>
      <c r="S86" s="516"/>
      <c r="T86" s="282"/>
      <c r="U86" s="280"/>
      <c r="V86" s="293"/>
      <c r="W86" s="228"/>
      <c r="X86" s="229"/>
      <c r="Y86" s="246"/>
      <c r="Z86" s="228"/>
      <c r="AA86" s="229"/>
      <c r="AB86" s="246"/>
      <c r="AC86" s="282"/>
      <c r="AD86" s="280"/>
      <c r="AE86" s="293"/>
      <c r="AF86" s="282"/>
      <c r="AG86" s="280"/>
      <c r="AH86" s="293"/>
      <c r="AI86" s="282"/>
      <c r="AJ86" s="280"/>
      <c r="AK86" s="293"/>
      <c r="AL86" s="282"/>
      <c r="AM86" s="280"/>
      <c r="AN86" s="293"/>
      <c r="AO86" s="282"/>
      <c r="AP86" s="280"/>
      <c r="AQ86" s="293"/>
      <c r="AR86" s="282"/>
      <c r="AS86" s="608"/>
      <c r="AT86" s="293"/>
      <c r="AU86" s="282"/>
      <c r="AV86" s="280"/>
      <c r="AW86" s="293"/>
      <c r="AX86" s="282"/>
      <c r="AY86" s="280"/>
      <c r="AZ86" s="293"/>
    </row>
    <row r="87" spans="1:52" hidden="1" x14ac:dyDescent="0.3">
      <c r="A87" s="12"/>
      <c r="B87" s="231"/>
      <c r="C87" s="283"/>
      <c r="D87" s="299"/>
      <c r="E87" s="285"/>
      <c r="F87" s="283"/>
      <c r="G87" s="299"/>
      <c r="H87" s="612"/>
      <c r="I87" s="612"/>
      <c r="J87" s="612"/>
      <c r="K87" s="285"/>
      <c r="L87" s="283"/>
      <c r="M87" s="299"/>
      <c r="N87" s="285"/>
      <c r="O87" s="612"/>
      <c r="P87" s="299"/>
      <c r="Q87" s="285"/>
      <c r="R87" s="283"/>
      <c r="S87" s="299"/>
      <c r="T87" s="285"/>
      <c r="U87" s="283"/>
      <c r="V87" s="299"/>
      <c r="W87" s="232"/>
      <c r="X87" s="211"/>
      <c r="Y87" s="258"/>
      <c r="Z87" s="232"/>
      <c r="AA87" s="211"/>
      <c r="AB87" s="258"/>
      <c r="AC87" s="285"/>
      <c r="AD87" s="283"/>
      <c r="AE87" s="299"/>
      <c r="AF87" s="285"/>
      <c r="AG87" s="283"/>
      <c r="AH87" s="299"/>
      <c r="AI87" s="285"/>
      <c r="AJ87" s="283"/>
      <c r="AK87" s="299"/>
      <c r="AL87" s="285"/>
      <c r="AM87" s="283"/>
      <c r="AN87" s="299"/>
      <c r="AO87" s="285"/>
      <c r="AP87" s="283"/>
      <c r="AQ87" s="299"/>
      <c r="AR87" s="285"/>
      <c r="AS87" s="612"/>
      <c r="AT87" s="299"/>
      <c r="AU87" s="285"/>
      <c r="AV87" s="283"/>
      <c r="AW87" s="299"/>
      <c r="AX87" s="285"/>
      <c r="AY87" s="283"/>
      <c r="AZ87" s="299"/>
    </row>
    <row r="88" spans="1:52" hidden="1" x14ac:dyDescent="0.3">
      <c r="A88" s="64" t="s">
        <v>356</v>
      </c>
      <c r="B88" s="235"/>
      <c r="C88" s="172"/>
      <c r="D88" s="279"/>
      <c r="E88" s="287"/>
      <c r="F88" s="172"/>
      <c r="G88" s="279"/>
      <c r="H88" s="422"/>
      <c r="I88" s="422"/>
      <c r="J88" s="422"/>
      <c r="K88" s="287"/>
      <c r="L88" s="172"/>
      <c r="M88" s="279"/>
      <c r="N88" s="287"/>
      <c r="O88" s="422"/>
      <c r="P88" s="279"/>
      <c r="Q88" s="505"/>
      <c r="R88" s="497"/>
      <c r="S88" s="517"/>
      <c r="T88" s="287"/>
      <c r="U88" s="172"/>
      <c r="V88" s="279"/>
      <c r="W88" s="226"/>
      <c r="X88" s="36"/>
      <c r="Y88" s="220"/>
      <c r="Z88" s="226"/>
      <c r="AA88" s="36"/>
      <c r="AB88" s="220"/>
      <c r="AC88" s="287"/>
      <c r="AD88" s="172"/>
      <c r="AE88" s="279"/>
      <c r="AF88" s="287"/>
      <c r="AG88" s="172"/>
      <c r="AH88" s="279"/>
      <c r="AI88" s="287"/>
      <c r="AJ88" s="172"/>
      <c r="AK88" s="279"/>
      <c r="AL88" s="287"/>
      <c r="AM88" s="172"/>
      <c r="AN88" s="279"/>
      <c r="AO88" s="287"/>
      <c r="AP88" s="172"/>
      <c r="AQ88" s="279"/>
      <c r="AR88" s="287"/>
      <c r="AS88" s="422"/>
      <c r="AT88" s="279"/>
      <c r="AU88" s="287"/>
      <c r="AV88" s="172"/>
      <c r="AW88" s="279"/>
      <c r="AX88" s="287"/>
      <c r="AY88" s="172"/>
      <c r="AZ88" s="279"/>
    </row>
    <row r="89" spans="1:52" hidden="1" x14ac:dyDescent="0.3">
      <c r="A89" s="26" t="s">
        <v>360</v>
      </c>
      <c r="B89" s="235"/>
      <c r="C89" s="172"/>
      <c r="D89" s="279"/>
      <c r="E89" s="287"/>
      <c r="F89" s="172"/>
      <c r="G89" s="279"/>
      <c r="H89" s="422"/>
      <c r="I89" s="422"/>
      <c r="J89" s="422"/>
      <c r="K89" s="287"/>
      <c r="L89" s="172"/>
      <c r="M89" s="279"/>
      <c r="N89" s="287"/>
      <c r="O89" s="422"/>
      <c r="P89" s="279"/>
      <c r="Q89" s="505"/>
      <c r="R89" s="497"/>
      <c r="S89" s="517"/>
      <c r="T89" s="287"/>
      <c r="U89" s="172"/>
      <c r="V89" s="279"/>
      <c r="W89" s="226"/>
      <c r="X89" s="36"/>
      <c r="Y89" s="220"/>
      <c r="Z89" s="226"/>
      <c r="AA89" s="36"/>
      <c r="AB89" s="220"/>
      <c r="AC89" s="287"/>
      <c r="AD89" s="172"/>
      <c r="AE89" s="279"/>
      <c r="AF89" s="287"/>
      <c r="AG89" s="172"/>
      <c r="AH89" s="279"/>
      <c r="AI89" s="287"/>
      <c r="AJ89" s="172"/>
      <c r="AK89" s="279"/>
      <c r="AL89" s="287"/>
      <c r="AM89" s="172"/>
      <c r="AN89" s="279"/>
      <c r="AO89" s="287"/>
      <c r="AP89" s="172"/>
      <c r="AQ89" s="279"/>
      <c r="AR89" s="287"/>
      <c r="AS89" s="422"/>
      <c r="AT89" s="279"/>
      <c r="AU89" s="287"/>
      <c r="AV89" s="172"/>
      <c r="AW89" s="279"/>
      <c r="AX89" s="287"/>
      <c r="AY89" s="172"/>
      <c r="AZ89" s="279"/>
    </row>
    <row r="90" spans="1:52" hidden="1" x14ac:dyDescent="0.3">
      <c r="A90" s="26" t="s">
        <v>359</v>
      </c>
      <c r="B90" s="128" t="s">
        <v>50</v>
      </c>
      <c r="C90" s="688">
        <v>250</v>
      </c>
      <c r="D90" s="70" t="s">
        <v>158</v>
      </c>
      <c r="E90" s="128" t="s">
        <v>50</v>
      </c>
      <c r="F90" s="688">
        <v>190</v>
      </c>
      <c r="G90" s="70" t="s">
        <v>158</v>
      </c>
      <c r="H90" s="128" t="s">
        <v>50</v>
      </c>
      <c r="I90" s="688">
        <v>275</v>
      </c>
      <c r="J90" s="70" t="s">
        <v>158</v>
      </c>
      <c r="K90" s="128" t="s">
        <v>50</v>
      </c>
      <c r="L90" s="688">
        <v>250</v>
      </c>
      <c r="M90" s="70" t="s">
        <v>158</v>
      </c>
      <c r="N90" s="128" t="s">
        <v>50</v>
      </c>
      <c r="O90" s="628">
        <v>300</v>
      </c>
      <c r="P90" s="70" t="s">
        <v>158</v>
      </c>
      <c r="Q90" s="128" t="s">
        <v>50</v>
      </c>
      <c r="R90" s="688">
        <v>285</v>
      </c>
      <c r="S90" s="70" t="s">
        <v>158</v>
      </c>
      <c r="T90" s="128" t="s">
        <v>50</v>
      </c>
      <c r="U90" s="688">
        <v>310</v>
      </c>
      <c r="V90" s="70" t="s">
        <v>158</v>
      </c>
      <c r="W90" s="128" t="s">
        <v>50</v>
      </c>
      <c r="X90" s="688">
        <v>180</v>
      </c>
      <c r="Y90" s="70" t="s">
        <v>158</v>
      </c>
      <c r="Z90" s="128" t="s">
        <v>50</v>
      </c>
      <c r="AA90" s="688">
        <v>200</v>
      </c>
      <c r="AB90" s="70" t="s">
        <v>158</v>
      </c>
      <c r="AC90" s="128" t="s">
        <v>50</v>
      </c>
      <c r="AD90" s="688">
        <v>190</v>
      </c>
      <c r="AE90" s="70" t="s">
        <v>158</v>
      </c>
      <c r="AF90" s="128" t="s">
        <v>50</v>
      </c>
      <c r="AG90" s="688">
        <v>325</v>
      </c>
      <c r="AH90" s="70" t="s">
        <v>158</v>
      </c>
      <c r="AI90" s="128" t="s">
        <v>50</v>
      </c>
      <c r="AJ90" s="688">
        <v>220</v>
      </c>
      <c r="AK90" s="70" t="s">
        <v>158</v>
      </c>
      <c r="AL90" s="128" t="s">
        <v>50</v>
      </c>
      <c r="AM90" s="688">
        <v>140</v>
      </c>
      <c r="AN90" s="70" t="s">
        <v>158</v>
      </c>
      <c r="AO90" s="128" t="s">
        <v>50</v>
      </c>
      <c r="AP90" s="688">
        <v>130</v>
      </c>
      <c r="AQ90" s="70" t="s">
        <v>158</v>
      </c>
      <c r="AR90" s="128" t="s">
        <v>50</v>
      </c>
      <c r="AS90" s="688">
        <v>130</v>
      </c>
      <c r="AT90" s="70" t="s">
        <v>158</v>
      </c>
      <c r="AU90" s="128" t="s">
        <v>50</v>
      </c>
      <c r="AV90" s="688">
        <v>500</v>
      </c>
      <c r="AW90" s="70" t="s">
        <v>158</v>
      </c>
      <c r="AX90" s="128" t="s">
        <v>50</v>
      </c>
      <c r="AY90" s="688">
        <v>375</v>
      </c>
      <c r="AZ90" s="70" t="s">
        <v>158</v>
      </c>
    </row>
    <row r="91" spans="1:52" hidden="1" x14ac:dyDescent="0.3">
      <c r="A91" s="525"/>
      <c r="B91" s="528" t="s">
        <v>50</v>
      </c>
      <c r="C91" s="689">
        <v>165</v>
      </c>
      <c r="D91" s="527" t="s">
        <v>158</v>
      </c>
      <c r="E91" s="528" t="s">
        <v>50</v>
      </c>
      <c r="F91" s="689">
        <v>135</v>
      </c>
      <c r="G91" s="527" t="s">
        <v>158</v>
      </c>
      <c r="H91" s="528" t="s">
        <v>50</v>
      </c>
      <c r="I91" s="689">
        <v>225</v>
      </c>
      <c r="J91" s="527" t="s">
        <v>158</v>
      </c>
      <c r="K91" s="528" t="s">
        <v>50</v>
      </c>
      <c r="L91" s="689">
        <v>210</v>
      </c>
      <c r="M91" s="527" t="s">
        <v>158</v>
      </c>
      <c r="N91" s="528" t="s">
        <v>50</v>
      </c>
      <c r="O91" s="689">
        <v>240</v>
      </c>
      <c r="P91" s="527" t="s">
        <v>158</v>
      </c>
      <c r="Q91" s="528" t="s">
        <v>50</v>
      </c>
      <c r="R91" s="689">
        <v>240</v>
      </c>
      <c r="S91" s="527" t="s">
        <v>158</v>
      </c>
      <c r="T91" s="528" t="s">
        <v>50</v>
      </c>
      <c r="U91" s="689">
        <v>250</v>
      </c>
      <c r="V91" s="527" t="s">
        <v>158</v>
      </c>
      <c r="W91" s="528" t="s">
        <v>50</v>
      </c>
      <c r="X91" s="689">
        <v>140</v>
      </c>
      <c r="Y91" s="527" t="s">
        <v>158</v>
      </c>
      <c r="Z91" s="528" t="s">
        <v>50</v>
      </c>
      <c r="AA91" s="689">
        <v>170</v>
      </c>
      <c r="AB91" s="527" t="s">
        <v>158</v>
      </c>
      <c r="AC91" s="528" t="s">
        <v>50</v>
      </c>
      <c r="AD91" s="689">
        <v>170</v>
      </c>
      <c r="AE91" s="527" t="s">
        <v>158</v>
      </c>
      <c r="AF91" s="528" t="s">
        <v>50</v>
      </c>
      <c r="AG91" s="689">
        <v>250</v>
      </c>
      <c r="AH91" s="527" t="s">
        <v>158</v>
      </c>
      <c r="AI91" s="528" t="s">
        <v>50</v>
      </c>
      <c r="AJ91" s="689">
        <v>155</v>
      </c>
      <c r="AK91" s="527" t="s">
        <v>158</v>
      </c>
      <c r="AL91" s="528" t="s">
        <v>50</v>
      </c>
      <c r="AM91" s="689">
        <v>100</v>
      </c>
      <c r="AN91" s="527" t="s">
        <v>158</v>
      </c>
      <c r="AO91" s="528" t="s">
        <v>50</v>
      </c>
      <c r="AP91" s="689">
        <v>95</v>
      </c>
      <c r="AQ91" s="527" t="s">
        <v>158</v>
      </c>
      <c r="AR91" s="528" t="s">
        <v>50</v>
      </c>
      <c r="AS91" s="689">
        <v>95</v>
      </c>
      <c r="AT91" s="527" t="s">
        <v>158</v>
      </c>
      <c r="AU91" s="528" t="s">
        <v>50</v>
      </c>
      <c r="AV91" s="689">
        <v>400</v>
      </c>
      <c r="AW91" s="527" t="s">
        <v>158</v>
      </c>
      <c r="AX91" s="528" t="s">
        <v>50</v>
      </c>
      <c r="AY91" s="689">
        <v>325</v>
      </c>
      <c r="AZ91" s="527" t="s">
        <v>158</v>
      </c>
    </row>
    <row r="92" spans="1:52" hidden="1" x14ac:dyDescent="0.3">
      <c r="A92" s="48"/>
      <c r="B92" s="227"/>
      <c r="C92" s="280"/>
      <c r="D92" s="293"/>
      <c r="E92" s="282"/>
      <c r="F92" s="280"/>
      <c r="G92" s="293"/>
      <c r="H92" s="282"/>
      <c r="I92" s="280"/>
      <c r="J92" s="293"/>
      <c r="K92" s="282"/>
      <c r="L92" s="280"/>
      <c r="M92" s="293"/>
      <c r="N92" s="282"/>
      <c r="O92" s="608"/>
      <c r="P92" s="293"/>
      <c r="Q92" s="501"/>
      <c r="R92" s="502"/>
      <c r="S92" s="516"/>
      <c r="T92" s="282"/>
      <c r="U92" s="280"/>
      <c r="V92" s="293"/>
      <c r="W92" s="228"/>
      <c r="X92" s="229"/>
      <c r="Y92" s="246"/>
      <c r="Z92" s="228"/>
      <c r="AA92" s="229"/>
      <c r="AB92" s="246"/>
      <c r="AC92" s="282"/>
      <c r="AD92" s="280"/>
      <c r="AE92" s="293"/>
      <c r="AF92" s="282"/>
      <c r="AG92" s="280"/>
      <c r="AH92" s="293"/>
      <c r="AI92" s="282"/>
      <c r="AJ92" s="280"/>
      <c r="AK92" s="293"/>
      <c r="AL92" s="282"/>
      <c r="AM92" s="280"/>
      <c r="AN92" s="293"/>
      <c r="AO92" s="282"/>
      <c r="AP92" s="280"/>
      <c r="AQ92" s="293"/>
      <c r="AR92" s="282"/>
      <c r="AS92" s="608"/>
      <c r="AT92" s="293"/>
      <c r="AU92" s="282"/>
      <c r="AV92" s="280"/>
      <c r="AW92" s="293"/>
      <c r="AX92" s="282"/>
      <c r="AY92" s="280"/>
      <c r="AZ92" s="293"/>
    </row>
    <row r="93" spans="1:52" hidden="1" x14ac:dyDescent="0.3">
      <c r="A93" s="12"/>
      <c r="B93" s="231"/>
      <c r="C93" s="283"/>
      <c r="D93" s="299"/>
      <c r="E93" s="285"/>
      <c r="F93" s="283"/>
      <c r="G93" s="299"/>
      <c r="H93" s="285"/>
      <c r="I93" s="283"/>
      <c r="J93" s="299"/>
      <c r="K93" s="285"/>
      <c r="L93" s="283"/>
      <c r="M93" s="299"/>
      <c r="N93" s="285"/>
      <c r="O93" s="612"/>
      <c r="P93" s="299"/>
      <c r="Q93" s="285"/>
      <c r="R93" s="283"/>
      <c r="S93" s="299"/>
      <c r="T93" s="285"/>
      <c r="U93" s="283"/>
      <c r="V93" s="299"/>
      <c r="W93" s="232"/>
      <c r="X93" s="211"/>
      <c r="Y93" s="258"/>
      <c r="Z93" s="232"/>
      <c r="AA93" s="211"/>
      <c r="AB93" s="258"/>
      <c r="AC93" s="285"/>
      <c r="AD93" s="283"/>
      <c r="AE93" s="299"/>
      <c r="AF93" s="285"/>
      <c r="AG93" s="283"/>
      <c r="AH93" s="299"/>
      <c r="AI93" s="285"/>
      <c r="AJ93" s="283"/>
      <c r="AK93" s="299"/>
      <c r="AL93" s="285"/>
      <c r="AM93" s="283"/>
      <c r="AN93" s="299"/>
      <c r="AO93" s="285"/>
      <c r="AP93" s="283"/>
      <c r="AQ93" s="299"/>
      <c r="AR93" s="285"/>
      <c r="AS93" s="612"/>
      <c r="AT93" s="299"/>
      <c r="AU93" s="285"/>
      <c r="AV93" s="283"/>
      <c r="AW93" s="299"/>
      <c r="AX93" s="285"/>
      <c r="AY93" s="283"/>
      <c r="AZ93" s="299"/>
    </row>
    <row r="94" spans="1:52" hidden="1" x14ac:dyDescent="0.3">
      <c r="A94" s="64" t="s">
        <v>85</v>
      </c>
      <c r="B94" s="235"/>
      <c r="C94" s="172"/>
      <c r="D94" s="279"/>
      <c r="E94" s="287"/>
      <c r="F94" s="172"/>
      <c r="G94" s="279"/>
      <c r="H94" s="287"/>
      <c r="I94" s="172"/>
      <c r="J94" s="279"/>
      <c r="K94" s="287"/>
      <c r="L94" s="172"/>
      <c r="M94" s="279"/>
      <c r="N94" s="287"/>
      <c r="O94" s="422"/>
      <c r="P94" s="279"/>
      <c r="Q94" s="505"/>
      <c r="R94" s="497"/>
      <c r="S94" s="517"/>
      <c r="T94" s="287"/>
      <c r="U94" s="172"/>
      <c r="V94" s="279"/>
      <c r="W94" s="226"/>
      <c r="X94" s="36"/>
      <c r="Y94" s="220"/>
      <c r="Z94" s="226"/>
      <c r="AA94" s="36"/>
      <c r="AB94" s="220"/>
      <c r="AC94" s="287"/>
      <c r="AD94" s="172"/>
      <c r="AE94" s="279"/>
      <c r="AF94" s="287"/>
      <c r="AG94" s="172"/>
      <c r="AH94" s="279"/>
      <c r="AI94" s="287"/>
      <c r="AJ94" s="172"/>
      <c r="AK94" s="279"/>
      <c r="AL94" s="287"/>
      <c r="AM94" s="172"/>
      <c r="AN94" s="279"/>
      <c r="AO94" s="287"/>
      <c r="AP94" s="172"/>
      <c r="AQ94" s="279"/>
      <c r="AR94" s="287"/>
      <c r="AS94" s="422"/>
      <c r="AT94" s="279"/>
      <c r="AU94" s="287"/>
      <c r="AV94" s="172"/>
      <c r="AW94" s="279"/>
      <c r="AX94" s="287"/>
      <c r="AY94" s="172"/>
      <c r="AZ94" s="279"/>
    </row>
    <row r="95" spans="1:52" hidden="1" x14ac:dyDescent="0.3">
      <c r="A95" s="26" t="s">
        <v>86</v>
      </c>
      <c r="B95" s="235"/>
      <c r="C95" s="172"/>
      <c r="D95" s="279"/>
      <c r="E95" s="287"/>
      <c r="F95" s="172"/>
      <c r="G95" s="279"/>
      <c r="H95" s="287"/>
      <c r="I95" s="172"/>
      <c r="J95" s="279"/>
      <c r="K95" s="287"/>
      <c r="L95" s="172"/>
      <c r="M95" s="279"/>
      <c r="N95" s="287"/>
      <c r="O95" s="422"/>
      <c r="P95" s="279"/>
      <c r="Q95" s="505"/>
      <c r="R95" s="497"/>
      <c r="S95" s="517"/>
      <c r="T95" s="287"/>
      <c r="U95" s="172"/>
      <c r="V95" s="279"/>
      <c r="W95" s="226"/>
      <c r="X95" s="36"/>
      <c r="Y95" s="220"/>
      <c r="Z95" s="226"/>
      <c r="AA95" s="36"/>
      <c r="AB95" s="220"/>
      <c r="AC95" s="287"/>
      <c r="AD95" s="172"/>
      <c r="AE95" s="279"/>
      <c r="AF95" s="287"/>
      <c r="AG95" s="172"/>
      <c r="AH95" s="279"/>
      <c r="AI95" s="287"/>
      <c r="AJ95" s="172"/>
      <c r="AK95" s="279"/>
      <c r="AL95" s="287"/>
      <c r="AM95" s="172"/>
      <c r="AN95" s="279"/>
      <c r="AO95" s="287"/>
      <c r="AP95" s="172"/>
      <c r="AQ95" s="279"/>
      <c r="AR95" s="287"/>
      <c r="AS95" s="422"/>
      <c r="AT95" s="279"/>
      <c r="AU95" s="287"/>
      <c r="AV95" s="172"/>
      <c r="AW95" s="279"/>
      <c r="AX95" s="287"/>
      <c r="AY95" s="172"/>
      <c r="AZ95" s="279"/>
    </row>
    <row r="96" spans="1:52" hidden="1" x14ac:dyDescent="0.3">
      <c r="A96" s="26" t="s">
        <v>87</v>
      </c>
      <c r="B96" s="134" t="s">
        <v>50</v>
      </c>
      <c r="C96" s="699">
        <f>ROUNDUP(C120,3)*100</f>
        <v>0.8</v>
      </c>
      <c r="D96" s="70" t="s">
        <v>22</v>
      </c>
      <c r="E96" s="134" t="s">
        <v>50</v>
      </c>
      <c r="F96" s="699">
        <f>ROUNDUP(F120,3)*100</f>
        <v>0.6</v>
      </c>
      <c r="G96" s="70" t="s">
        <v>22</v>
      </c>
      <c r="H96" s="134" t="s">
        <v>50</v>
      </c>
      <c r="I96" s="699">
        <f>ROUNDUP(I120,3)*100</f>
        <v>0.70000000000000007</v>
      </c>
      <c r="J96" s="70" t="s">
        <v>22</v>
      </c>
      <c r="K96" s="134" t="s">
        <v>50</v>
      </c>
      <c r="L96" s="699">
        <f>ROUNDUP(L120,3)*100</f>
        <v>0.6</v>
      </c>
      <c r="M96" s="70" t="s">
        <v>22</v>
      </c>
      <c r="N96" s="134" t="s">
        <v>50</v>
      </c>
      <c r="O96" s="699">
        <f>ROUNDUP(O120,3)*100</f>
        <v>0.6</v>
      </c>
      <c r="P96" s="70" t="s">
        <v>22</v>
      </c>
      <c r="Q96" s="134" t="s">
        <v>50</v>
      </c>
      <c r="R96" s="699">
        <f>ROUNDUP(R120,3)*100</f>
        <v>0.6</v>
      </c>
      <c r="S96" s="507" t="s">
        <v>22</v>
      </c>
      <c r="T96" s="134" t="s">
        <v>50</v>
      </c>
      <c r="U96" s="699">
        <f>ROUNDUP(U120,3)*100</f>
        <v>0.5</v>
      </c>
      <c r="V96" s="70" t="s">
        <v>22</v>
      </c>
      <c r="W96" s="134" t="s">
        <v>50</v>
      </c>
      <c r="X96" s="699">
        <f>ROUNDUP(X120,3)*100</f>
        <v>0.5</v>
      </c>
      <c r="Y96" s="70" t="s">
        <v>22</v>
      </c>
      <c r="Z96" s="134" t="s">
        <v>50</v>
      </c>
      <c r="AA96" s="699">
        <f>ROUNDUP(AA120,3)*100</f>
        <v>0.5</v>
      </c>
      <c r="AB96" s="70" t="s">
        <v>22</v>
      </c>
      <c r="AC96" s="134" t="s">
        <v>50</v>
      </c>
      <c r="AD96" s="699">
        <f>ROUNDUP(AD120,3)*100</f>
        <v>0.4</v>
      </c>
      <c r="AE96" s="70" t="s">
        <v>22</v>
      </c>
      <c r="AF96" s="134" t="s">
        <v>50</v>
      </c>
      <c r="AG96" s="699">
        <f>ROUNDUP(AG120,3)*100</f>
        <v>0.6</v>
      </c>
      <c r="AH96" s="70" t="s">
        <v>22</v>
      </c>
      <c r="AI96" s="134" t="s">
        <v>50</v>
      </c>
      <c r="AJ96" s="699">
        <f>ROUNDUP(AJ120,3)*100</f>
        <v>0.5</v>
      </c>
      <c r="AK96" s="70" t="s">
        <v>22</v>
      </c>
      <c r="AL96" s="134" t="s">
        <v>50</v>
      </c>
      <c r="AM96" s="699">
        <f>ROUNDUP(AM120,3)*100</f>
        <v>0.4</v>
      </c>
      <c r="AN96" s="70" t="s">
        <v>22</v>
      </c>
      <c r="AO96" s="134" t="s">
        <v>50</v>
      </c>
      <c r="AP96" s="699">
        <f>ROUNDUP(AP120,3)*100</f>
        <v>0.4</v>
      </c>
      <c r="AQ96" s="70" t="s">
        <v>22</v>
      </c>
      <c r="AR96" s="134" t="s">
        <v>50</v>
      </c>
      <c r="AS96" s="699">
        <f>ROUNDUP(AS120,3)*100</f>
        <v>0.4</v>
      </c>
      <c r="AT96" s="70" t="s">
        <v>22</v>
      </c>
      <c r="AU96" s="134" t="s">
        <v>50</v>
      </c>
      <c r="AV96" s="699">
        <f>ROUNDUP(AV120,3)*100</f>
        <v>0.6</v>
      </c>
      <c r="AW96" s="70" t="s">
        <v>22</v>
      </c>
      <c r="AX96" s="134" t="s">
        <v>50</v>
      </c>
      <c r="AY96" s="699">
        <f>ROUNDUP(AY120,3)*100</f>
        <v>0.5</v>
      </c>
      <c r="AZ96" s="70" t="s">
        <v>22</v>
      </c>
    </row>
    <row r="97" spans="1:52" hidden="1" x14ac:dyDescent="0.3">
      <c r="A97" s="525"/>
      <c r="B97" s="526" t="s">
        <v>50</v>
      </c>
      <c r="C97" s="700">
        <f>ROUNDUP(C124,3)*100</f>
        <v>0.5</v>
      </c>
      <c r="D97" s="527" t="s">
        <v>22</v>
      </c>
      <c r="E97" s="526" t="s">
        <v>50</v>
      </c>
      <c r="F97" s="700">
        <f>ROUNDUP(F124,3)*100</f>
        <v>0.4</v>
      </c>
      <c r="G97" s="527" t="s">
        <v>22</v>
      </c>
      <c r="H97" s="526" t="s">
        <v>50</v>
      </c>
      <c r="I97" s="700">
        <f>ROUNDUP(I124,3)*100</f>
        <v>0.6</v>
      </c>
      <c r="J97" s="527" t="s">
        <v>22</v>
      </c>
      <c r="K97" s="526" t="s">
        <v>50</v>
      </c>
      <c r="L97" s="700">
        <f>ROUNDUP(L124,3)*100</f>
        <v>0.5</v>
      </c>
      <c r="M97" s="527" t="s">
        <v>22</v>
      </c>
      <c r="N97" s="526" t="s">
        <v>50</v>
      </c>
      <c r="O97" s="700">
        <f>ROUNDUP(O124,3)*100</f>
        <v>0.5</v>
      </c>
      <c r="P97" s="527" t="s">
        <v>22</v>
      </c>
      <c r="Q97" s="526" t="s">
        <v>50</v>
      </c>
      <c r="R97" s="700">
        <f>ROUNDUP(R124,3)*100</f>
        <v>0.5</v>
      </c>
      <c r="S97" s="527" t="s">
        <v>22</v>
      </c>
      <c r="T97" s="526" t="s">
        <v>50</v>
      </c>
      <c r="U97" s="700">
        <f>ROUNDUP(U124,3)*100</f>
        <v>0.4</v>
      </c>
      <c r="V97" s="527" t="s">
        <v>22</v>
      </c>
      <c r="W97" s="526" t="s">
        <v>50</v>
      </c>
      <c r="X97" s="700">
        <f>ROUNDUP(X124,3)*100</f>
        <v>0.4</v>
      </c>
      <c r="Y97" s="527" t="s">
        <v>22</v>
      </c>
      <c r="Z97" s="526" t="s">
        <v>50</v>
      </c>
      <c r="AA97" s="700">
        <f>ROUNDUP(AA124,3)*100</f>
        <v>0.5</v>
      </c>
      <c r="AB97" s="527" t="s">
        <v>22</v>
      </c>
      <c r="AC97" s="526" t="s">
        <v>50</v>
      </c>
      <c r="AD97" s="700">
        <f>ROUNDUP(AD124,3)*100</f>
        <v>0.4</v>
      </c>
      <c r="AE97" s="527" t="s">
        <v>22</v>
      </c>
      <c r="AF97" s="526" t="s">
        <v>50</v>
      </c>
      <c r="AG97" s="700">
        <f>ROUNDUP(AG124,3)*100</f>
        <v>0.4</v>
      </c>
      <c r="AH97" s="527" t="s">
        <v>22</v>
      </c>
      <c r="AI97" s="526" t="s">
        <v>50</v>
      </c>
      <c r="AJ97" s="700">
        <f>ROUNDUP(AJ124,3)*100</f>
        <v>0.3</v>
      </c>
      <c r="AK97" s="527" t="s">
        <v>22</v>
      </c>
      <c r="AL97" s="526" t="s">
        <v>50</v>
      </c>
      <c r="AM97" s="700">
        <f>ROUNDUP(AM124,3)*100</f>
        <v>0.3</v>
      </c>
      <c r="AN97" s="527" t="s">
        <v>22</v>
      </c>
      <c r="AO97" s="526" t="s">
        <v>50</v>
      </c>
      <c r="AP97" s="700">
        <f>ROUNDUP(AP124,3)*100</f>
        <v>0.3</v>
      </c>
      <c r="AQ97" s="527" t="s">
        <v>22</v>
      </c>
      <c r="AR97" s="526" t="s">
        <v>50</v>
      </c>
      <c r="AS97" s="700">
        <f>ROUNDUP(AS124,3)*100</f>
        <v>0.3</v>
      </c>
      <c r="AT97" s="527" t="s">
        <v>22</v>
      </c>
      <c r="AU97" s="526" t="s">
        <v>50</v>
      </c>
      <c r="AV97" s="700">
        <f>ROUNDUP(AV124,3)*100</f>
        <v>0.5</v>
      </c>
      <c r="AW97" s="527" t="s">
        <v>22</v>
      </c>
      <c r="AX97" s="526" t="s">
        <v>50</v>
      </c>
      <c r="AY97" s="700">
        <f>ROUNDUP(AY124,3)*100</f>
        <v>0.4</v>
      </c>
      <c r="AZ97" s="527" t="s">
        <v>22</v>
      </c>
    </row>
    <row r="98" spans="1:52" hidden="1" x14ac:dyDescent="0.3">
      <c r="A98" s="48"/>
      <c r="B98" s="227"/>
      <c r="C98" s="280"/>
      <c r="D98" s="293"/>
      <c r="E98" s="282"/>
      <c r="F98" s="280"/>
      <c r="G98" s="293"/>
      <c r="H98" s="608"/>
      <c r="I98" s="608"/>
      <c r="J98" s="608"/>
      <c r="K98" s="282"/>
      <c r="L98" s="280"/>
      <c r="M98" s="293"/>
      <c r="N98" s="282"/>
      <c r="O98" s="608"/>
      <c r="P98" s="293"/>
      <c r="Q98" s="501"/>
      <c r="R98" s="502"/>
      <c r="S98" s="516"/>
      <c r="T98" s="282"/>
      <c r="U98" s="280"/>
      <c r="V98" s="293"/>
      <c r="W98" s="228"/>
      <c r="X98" s="229"/>
      <c r="Y98" s="246"/>
      <c r="Z98" s="228"/>
      <c r="AA98" s="229"/>
      <c r="AB98" s="246"/>
      <c r="AC98" s="282"/>
      <c r="AD98" s="280"/>
      <c r="AE98" s="293"/>
      <c r="AF98" s="282"/>
      <c r="AG98" s="280"/>
      <c r="AH98" s="293"/>
      <c r="AI98" s="282"/>
      <c r="AJ98" s="280"/>
      <c r="AK98" s="293"/>
      <c r="AL98" s="282"/>
      <c r="AM98" s="280"/>
      <c r="AN98" s="293"/>
      <c r="AO98" s="282"/>
      <c r="AP98" s="280"/>
      <c r="AQ98" s="293" t="s">
        <v>88</v>
      </c>
      <c r="AR98" s="282"/>
      <c r="AS98" s="608"/>
      <c r="AT98" s="293" t="s">
        <v>88</v>
      </c>
      <c r="AU98" s="282"/>
      <c r="AV98" s="280"/>
      <c r="AW98" s="293"/>
      <c r="AX98" s="282"/>
      <c r="AY98" s="280"/>
      <c r="AZ98" s="293"/>
    </row>
    <row r="99" spans="1:52" hidden="1" x14ac:dyDescent="0.3">
      <c r="C99" s="260" t="s">
        <v>89</v>
      </c>
      <c r="AQ99" s="3" t="s">
        <v>181</v>
      </c>
    </row>
    <row r="100" spans="1:52" hidden="1" x14ac:dyDescent="0.3"/>
    <row r="101" spans="1:52" hidden="1" x14ac:dyDescent="0.3"/>
    <row r="102" spans="1:52" hidden="1" x14ac:dyDescent="0.3"/>
    <row r="103" spans="1:52" hidden="1" x14ac:dyDescent="0.3"/>
    <row r="104" spans="1:52" hidden="1" x14ac:dyDescent="0.3">
      <c r="C104" s="2" t="str">
        <f>C24</f>
        <v>1 000 à 1 300</v>
      </c>
      <c r="D104" s="2"/>
      <c r="F104" s="2" t="str">
        <f>F24</f>
        <v>1 000 à 1 200</v>
      </c>
      <c r="G104" s="2"/>
      <c r="H104" s="2"/>
      <c r="I104" s="2" t="str">
        <f>I24</f>
        <v>1 150 à 1 500</v>
      </c>
      <c r="J104" s="2"/>
      <c r="L104" s="2" t="str">
        <f>L24</f>
        <v>1 200 à 1 650</v>
      </c>
      <c r="M104" s="2"/>
      <c r="N104" s="2"/>
      <c r="O104" s="2" t="str">
        <f>O24</f>
        <v>1 350 à 2 000</v>
      </c>
      <c r="P104" s="2"/>
      <c r="R104" s="2" t="str">
        <f>R24</f>
        <v>1 400 à 1 800</v>
      </c>
      <c r="S104" s="2"/>
      <c r="U104" s="2" t="str">
        <f>U24</f>
        <v>1 900 à 2 500</v>
      </c>
      <c r="V104" s="2"/>
      <c r="W104" s="2"/>
      <c r="X104" s="2" t="str">
        <f>X24</f>
        <v>1 150 à 1 400</v>
      </c>
      <c r="Y104" s="2"/>
      <c r="Z104" s="2"/>
      <c r="AA104" s="2" t="str">
        <f>AA24</f>
        <v>1 250 à 1 400</v>
      </c>
      <c r="AB104" s="2"/>
      <c r="AC104" s="2"/>
      <c r="AD104" s="2" t="str">
        <f>AD24</f>
        <v>1 600 à 2 000</v>
      </c>
      <c r="AE104" s="2"/>
      <c r="AG104" s="2" t="str">
        <f>AG24</f>
        <v>1 800 à 2 300</v>
      </c>
      <c r="AH104" s="2"/>
      <c r="AJ104" s="2" t="str">
        <f>AJ24</f>
        <v>1 500 à 1 900</v>
      </c>
      <c r="AK104" s="2"/>
      <c r="AM104" s="2" t="str">
        <f>AM24</f>
        <v>950 à 1 400</v>
      </c>
      <c r="AN104" s="2"/>
      <c r="AP104" s="2" t="str">
        <f>AP24</f>
        <v>950 à 1 400</v>
      </c>
      <c r="AQ104" s="2"/>
      <c r="AR104" s="2"/>
      <c r="AS104" s="2" t="str">
        <f>AS24</f>
        <v>900 à 1 400</v>
      </c>
      <c r="AT104" s="2"/>
      <c r="AV104" s="2" t="str">
        <f>AV24</f>
        <v>2 500 à 3 100</v>
      </c>
      <c r="AW104" s="2"/>
      <c r="AY104" s="2" t="str">
        <f>AY24</f>
        <v>2750 à 3 200</v>
      </c>
      <c r="AZ104" s="2"/>
    </row>
    <row r="105" spans="1:52" s="690" customFormat="1" hidden="1" x14ac:dyDescent="0.3">
      <c r="B105" s="691"/>
      <c r="C105" s="690">
        <v>1000</v>
      </c>
      <c r="D105" s="690">
        <v>1300</v>
      </c>
      <c r="E105" s="691"/>
      <c r="F105" s="690">
        <v>1000</v>
      </c>
      <c r="G105" s="690">
        <v>1200</v>
      </c>
      <c r="I105" s="690">
        <v>1150</v>
      </c>
      <c r="J105" s="690">
        <v>1500</v>
      </c>
      <c r="K105" s="691"/>
      <c r="L105" s="690">
        <v>1200</v>
      </c>
      <c r="M105" s="690">
        <v>1650</v>
      </c>
      <c r="O105" s="690">
        <v>1350</v>
      </c>
      <c r="P105" s="690">
        <v>2000</v>
      </c>
      <c r="Q105" s="691"/>
      <c r="R105" s="690">
        <v>1400</v>
      </c>
      <c r="S105" s="690">
        <v>1800</v>
      </c>
      <c r="T105" s="691"/>
      <c r="U105" s="690">
        <v>1900</v>
      </c>
      <c r="V105" s="690">
        <v>2500</v>
      </c>
      <c r="X105" s="690">
        <v>1150</v>
      </c>
      <c r="Y105" s="690">
        <v>1400</v>
      </c>
      <c r="AA105" s="690">
        <v>1250</v>
      </c>
      <c r="AB105" s="690">
        <v>1400</v>
      </c>
      <c r="AD105" s="690">
        <v>1600</v>
      </c>
      <c r="AE105" s="690">
        <v>2000</v>
      </c>
      <c r="AF105" s="691"/>
      <c r="AG105" s="690">
        <v>1800</v>
      </c>
      <c r="AH105" s="690">
        <v>2300</v>
      </c>
      <c r="AI105" s="691"/>
      <c r="AJ105" s="690">
        <v>1500</v>
      </c>
      <c r="AK105" s="690">
        <v>1900</v>
      </c>
      <c r="AL105" s="691"/>
      <c r="AM105" s="690">
        <v>950</v>
      </c>
      <c r="AN105" s="690">
        <v>1400</v>
      </c>
      <c r="AO105" s="691"/>
      <c r="AP105" s="690">
        <v>950</v>
      </c>
      <c r="AQ105" s="690">
        <v>1400</v>
      </c>
      <c r="AS105" s="690">
        <v>900</v>
      </c>
      <c r="AT105" s="690">
        <v>1400</v>
      </c>
      <c r="AU105" s="691"/>
      <c r="AV105" s="690">
        <v>2500</v>
      </c>
      <c r="AW105" s="690">
        <v>3100</v>
      </c>
      <c r="AX105" s="691"/>
      <c r="AY105" s="690">
        <v>2750</v>
      </c>
      <c r="AZ105" s="690">
        <v>3200</v>
      </c>
    </row>
    <row r="106" spans="1:52" hidden="1" x14ac:dyDescent="0.3">
      <c r="C106" s="692">
        <v>0.04</v>
      </c>
      <c r="D106" s="693">
        <f>$C106</f>
        <v>0.04</v>
      </c>
      <c r="F106" s="693">
        <f>$C106</f>
        <v>0.04</v>
      </c>
      <c r="G106" s="693">
        <f>$C106</f>
        <v>0.04</v>
      </c>
      <c r="H106" s="2"/>
      <c r="I106" s="693">
        <f>$C106</f>
        <v>0.04</v>
      </c>
      <c r="J106" s="693">
        <f>$C106</f>
        <v>0.04</v>
      </c>
      <c r="L106" s="693">
        <f>$C106</f>
        <v>0.04</v>
      </c>
      <c r="M106" s="693">
        <f>$C106</f>
        <v>0.04</v>
      </c>
      <c r="N106" s="2"/>
      <c r="O106" s="693">
        <f>$C106</f>
        <v>0.04</v>
      </c>
      <c r="P106" s="693">
        <f>$C106</f>
        <v>0.04</v>
      </c>
      <c r="R106" s="693">
        <f>$C106</f>
        <v>0.04</v>
      </c>
      <c r="S106" s="693">
        <f>$C106</f>
        <v>0.04</v>
      </c>
      <c r="U106" s="693">
        <f>$C106</f>
        <v>0.04</v>
      </c>
      <c r="V106" s="693">
        <f>$C106</f>
        <v>0.04</v>
      </c>
      <c r="W106" s="2"/>
      <c r="X106" s="693">
        <f>$C106</f>
        <v>0.04</v>
      </c>
      <c r="Y106" s="693">
        <f>$C106</f>
        <v>0.04</v>
      </c>
      <c r="Z106" s="2"/>
      <c r="AA106" s="693">
        <f>$C106</f>
        <v>0.04</v>
      </c>
      <c r="AB106" s="693">
        <f>$C106</f>
        <v>0.04</v>
      </c>
      <c r="AC106" s="2"/>
      <c r="AD106" s="693">
        <f>$C106</f>
        <v>0.04</v>
      </c>
      <c r="AE106" s="693">
        <f>$C106</f>
        <v>0.04</v>
      </c>
      <c r="AG106" s="693">
        <f>$C106</f>
        <v>0.04</v>
      </c>
      <c r="AH106" s="693">
        <f>$C106</f>
        <v>0.04</v>
      </c>
      <c r="AJ106" s="693">
        <f>$C106</f>
        <v>0.04</v>
      </c>
      <c r="AK106" s="693">
        <f>$C106</f>
        <v>0.04</v>
      </c>
      <c r="AM106" s="693">
        <f>$C106</f>
        <v>0.04</v>
      </c>
      <c r="AN106" s="693">
        <f>$C106</f>
        <v>0.04</v>
      </c>
      <c r="AP106" s="693">
        <f>$C106</f>
        <v>0.04</v>
      </c>
      <c r="AQ106" s="693">
        <f>$C106</f>
        <v>0.04</v>
      </c>
      <c r="AR106" s="2"/>
      <c r="AS106" s="693">
        <f>$C106</f>
        <v>0.04</v>
      </c>
      <c r="AT106" s="693">
        <f>$C106</f>
        <v>0.04</v>
      </c>
      <c r="AV106" s="693">
        <f>$C106</f>
        <v>0.04</v>
      </c>
      <c r="AW106" s="693">
        <f>$C106</f>
        <v>0.04</v>
      </c>
      <c r="AY106" s="693">
        <f>$C106</f>
        <v>0.04</v>
      </c>
      <c r="AZ106" s="693">
        <f>$C106</f>
        <v>0.04</v>
      </c>
    </row>
    <row r="107" spans="1:52" hidden="1" x14ac:dyDescent="0.3">
      <c r="C107" s="694">
        <f>C90</f>
        <v>250</v>
      </c>
      <c r="D107" s="694">
        <f>C90</f>
        <v>250</v>
      </c>
      <c r="F107" s="694">
        <f>F90</f>
        <v>190</v>
      </c>
      <c r="G107" s="694">
        <f>F90</f>
        <v>190</v>
      </c>
      <c r="H107" s="2"/>
      <c r="I107" s="694">
        <f>I90</f>
        <v>275</v>
      </c>
      <c r="J107" s="694">
        <f>I90</f>
        <v>275</v>
      </c>
      <c r="L107" s="694">
        <f>L90</f>
        <v>250</v>
      </c>
      <c r="M107" s="694">
        <f>L90</f>
        <v>250</v>
      </c>
      <c r="N107" s="2"/>
      <c r="O107" s="694">
        <f>O90</f>
        <v>300</v>
      </c>
      <c r="P107" s="694">
        <f>O90</f>
        <v>300</v>
      </c>
      <c r="R107" s="694">
        <f>R90</f>
        <v>285</v>
      </c>
      <c r="S107" s="694">
        <f>R90</f>
        <v>285</v>
      </c>
      <c r="U107" s="694">
        <f>U90</f>
        <v>310</v>
      </c>
      <c r="V107" s="694">
        <f>U90</f>
        <v>310</v>
      </c>
      <c r="W107" s="2"/>
      <c r="X107" s="694">
        <f>X90</f>
        <v>180</v>
      </c>
      <c r="Y107" s="694">
        <f>X90</f>
        <v>180</v>
      </c>
      <c r="Z107" s="2"/>
      <c r="AA107" s="694">
        <f>AA90</f>
        <v>200</v>
      </c>
      <c r="AB107" s="694">
        <f>AA90</f>
        <v>200</v>
      </c>
      <c r="AC107" s="2"/>
      <c r="AD107" s="694">
        <f>AD90</f>
        <v>190</v>
      </c>
      <c r="AE107" s="694">
        <f>AD90</f>
        <v>190</v>
      </c>
      <c r="AG107" s="694">
        <f>AG90</f>
        <v>325</v>
      </c>
      <c r="AH107" s="694">
        <f>AG90</f>
        <v>325</v>
      </c>
      <c r="AJ107" s="694">
        <f>AJ90</f>
        <v>220</v>
      </c>
      <c r="AK107" s="694">
        <f>AJ90</f>
        <v>220</v>
      </c>
      <c r="AM107" s="694">
        <f>AM90</f>
        <v>140</v>
      </c>
      <c r="AN107" s="694">
        <f>AM90</f>
        <v>140</v>
      </c>
      <c r="AP107" s="694">
        <f>AP90</f>
        <v>130</v>
      </c>
      <c r="AQ107" s="694">
        <f>AP90</f>
        <v>130</v>
      </c>
      <c r="AR107" s="2"/>
      <c r="AS107" s="694">
        <f>AS90</f>
        <v>130</v>
      </c>
      <c r="AT107" s="694">
        <f>AS90</f>
        <v>130</v>
      </c>
      <c r="AV107" s="694">
        <f>AV90</f>
        <v>500</v>
      </c>
      <c r="AW107" s="694">
        <f>AV90</f>
        <v>500</v>
      </c>
      <c r="AY107" s="694">
        <f>AY90</f>
        <v>375</v>
      </c>
      <c r="AZ107" s="694">
        <f>AY90</f>
        <v>375</v>
      </c>
    </row>
    <row r="108" spans="1:52" hidden="1" x14ac:dyDescent="0.3">
      <c r="C108" s="695">
        <f>((C107/2)*C$106)/C$105</f>
        <v>5.0000000000000001E-3</v>
      </c>
      <c r="D108" s="695">
        <f>((D107/2)*D$106)/D$105</f>
        <v>3.8461538461538464E-3</v>
      </c>
      <c r="F108" s="695">
        <f>((F107/2)*F$106)/F$105</f>
        <v>3.8000000000000004E-3</v>
      </c>
      <c r="G108" s="695">
        <f>((G107/2)*G$106)/G$105</f>
        <v>3.166666666666667E-3</v>
      </c>
      <c r="H108" s="2"/>
      <c r="I108" s="695">
        <f>((I107/2)*I$106)/I$105</f>
        <v>4.7826086956521737E-3</v>
      </c>
      <c r="J108" s="695">
        <f>((J107/2)*J$106)/J$105</f>
        <v>3.6666666666666666E-3</v>
      </c>
      <c r="L108" s="695">
        <f>((L107/2)*L$106)/L$105</f>
        <v>4.1666666666666666E-3</v>
      </c>
      <c r="M108" s="695">
        <f>((M107/2)*M$106)/M$105</f>
        <v>3.0303030303030303E-3</v>
      </c>
      <c r="N108" s="2"/>
      <c r="O108" s="695">
        <f>((O107/2)*O$106)/O$105</f>
        <v>4.4444444444444444E-3</v>
      </c>
      <c r="P108" s="695">
        <f>((P107/2)*P$106)/P$105</f>
        <v>3.0000000000000001E-3</v>
      </c>
      <c r="R108" s="695">
        <f>((R107/2)*R$106)/R$105</f>
        <v>4.0714285714285713E-3</v>
      </c>
      <c r="S108" s="695">
        <f>((S107/2)*S$106)/S$105</f>
        <v>3.1666666666666666E-3</v>
      </c>
      <c r="U108" s="695">
        <f>((U107/2)*U$106)/U$105</f>
        <v>3.2631578947368424E-3</v>
      </c>
      <c r="V108" s="695">
        <f>((V107/2)*V$106)/V$105</f>
        <v>2.48E-3</v>
      </c>
      <c r="W108" s="2"/>
      <c r="X108" s="695">
        <f>((X107/2)*X$106)/X$105</f>
        <v>3.1304347826086958E-3</v>
      </c>
      <c r="Y108" s="695">
        <f>((Y107/2)*Y$106)/Y$105</f>
        <v>2.5714285714285713E-3</v>
      </c>
      <c r="Z108" s="2"/>
      <c r="AA108" s="695">
        <f>((AA107/2)*AA$106)/AA$105</f>
        <v>3.2000000000000002E-3</v>
      </c>
      <c r="AB108" s="695">
        <f>((AB107/2)*AB$106)/AB$105</f>
        <v>2.8571428571428571E-3</v>
      </c>
      <c r="AC108" s="2"/>
      <c r="AD108" s="695">
        <f>((AD107/2)*AD$106)/AD$105</f>
        <v>2.3750000000000004E-3</v>
      </c>
      <c r="AE108" s="695">
        <f>((AE107/2)*AE$106)/AE$105</f>
        <v>1.9000000000000002E-3</v>
      </c>
      <c r="AG108" s="695">
        <f>((AG107/2)*AG$106)/AG$105</f>
        <v>3.6111111111111109E-3</v>
      </c>
      <c r="AH108" s="695">
        <f>((AH107/2)*AH$106)/AH$105</f>
        <v>2.8260869565217392E-3</v>
      </c>
      <c r="AJ108" s="695">
        <f>((AJ107/2)*AJ$106)/AJ$105</f>
        <v>2.9333333333333334E-3</v>
      </c>
      <c r="AK108" s="695">
        <f>((AK107/2)*AK$106)/AK$105</f>
        <v>2.3157894736842107E-3</v>
      </c>
      <c r="AM108" s="695">
        <f>((AM107/2)*AM$106)/AM$105</f>
        <v>2.9473684210526317E-3</v>
      </c>
      <c r="AN108" s="695">
        <f>((AN107/2)*AN$106)/AN$105</f>
        <v>2E-3</v>
      </c>
      <c r="AP108" s="695">
        <f>((AP107/2)*AP$106)/AP$105</f>
        <v>2.7368421052631582E-3</v>
      </c>
      <c r="AQ108" s="695">
        <f>((AQ107/2)*AQ$106)/AQ$105</f>
        <v>1.8571428571428571E-3</v>
      </c>
      <c r="AR108" s="2"/>
      <c r="AS108" s="695">
        <f>((AS107/2)*AS$106)/AS$105</f>
        <v>2.8888888888888892E-3</v>
      </c>
      <c r="AT108" s="695">
        <f>((AT107/2)*AT$106)/AT$105</f>
        <v>1.8571428571428571E-3</v>
      </c>
      <c r="AV108" s="695">
        <f>((AV107/2)*AV$106)/AV$105</f>
        <v>4.0000000000000001E-3</v>
      </c>
      <c r="AW108" s="695">
        <f>((AW107/2)*AW$106)/AW$105</f>
        <v>3.2258064516129032E-3</v>
      </c>
      <c r="AY108" s="695">
        <f>((AY107/2)*AY$106)/AY$105</f>
        <v>2.7272727272727275E-3</v>
      </c>
      <c r="AZ108" s="695">
        <f>((AZ107/2)*AZ$106)/AZ$105</f>
        <v>2.3437499999999999E-3</v>
      </c>
    </row>
    <row r="109" spans="1:52" hidden="1" x14ac:dyDescent="0.3">
      <c r="A109" s="696">
        <f>AVERAGE(C109:AZ109)</f>
        <v>3.1232148395174148E-3</v>
      </c>
      <c r="C109" s="713">
        <f>AVERAGE(C108:D108)</f>
        <v>4.4230769230769237E-3</v>
      </c>
      <c r="D109" s="713"/>
      <c r="F109" s="713">
        <f>AVERAGE(F108:G108)</f>
        <v>3.4833333333333339E-3</v>
      </c>
      <c r="G109" s="713"/>
      <c r="H109" s="2"/>
      <c r="I109" s="713">
        <f>AVERAGE(I108:J108)</f>
        <v>4.2246376811594204E-3</v>
      </c>
      <c r="J109" s="713"/>
      <c r="L109" s="713">
        <f>AVERAGE(L108:M108)</f>
        <v>3.5984848484848482E-3</v>
      </c>
      <c r="M109" s="713"/>
      <c r="N109" s="2"/>
      <c r="O109" s="713">
        <f>AVERAGE(O108:P108)</f>
        <v>3.7222222222222223E-3</v>
      </c>
      <c r="P109" s="713"/>
      <c r="R109" s="713">
        <f>AVERAGE(R108:S108)</f>
        <v>3.619047619047619E-3</v>
      </c>
      <c r="S109" s="713"/>
      <c r="U109" s="713">
        <f>AVERAGE(U108:V108)</f>
        <v>2.8715789473684212E-3</v>
      </c>
      <c r="V109" s="713"/>
      <c r="W109" s="2"/>
      <c r="X109" s="713">
        <f>AVERAGE(X108:Y108)</f>
        <v>2.8509316770186336E-3</v>
      </c>
      <c r="Y109" s="713"/>
      <c r="Z109" s="2"/>
      <c r="AA109" s="713">
        <f>AVERAGE(AA108:AB108)</f>
        <v>3.0285714285714286E-3</v>
      </c>
      <c r="AB109" s="713"/>
      <c r="AC109" s="2"/>
      <c r="AD109" s="713">
        <f>AVERAGE(AD108:AE108)</f>
        <v>2.1375000000000005E-3</v>
      </c>
      <c r="AE109" s="713"/>
      <c r="AG109" s="713">
        <f>AVERAGE(AG108:AH108)</f>
        <v>3.2185990338164253E-3</v>
      </c>
      <c r="AH109" s="713"/>
      <c r="AJ109" s="713">
        <f>AVERAGE(AJ108:AK108)</f>
        <v>2.624561403508772E-3</v>
      </c>
      <c r="AK109" s="713"/>
      <c r="AM109" s="713">
        <f>AVERAGE(AM108:AN108)</f>
        <v>2.4736842105263159E-3</v>
      </c>
      <c r="AN109" s="713"/>
      <c r="AP109" s="713">
        <f>AVERAGE(AP108:AQ108)</f>
        <v>2.2969924812030074E-3</v>
      </c>
      <c r="AQ109" s="713"/>
      <c r="AR109" s="2"/>
      <c r="AS109" s="713">
        <f>AVERAGE(AS108:AT108)</f>
        <v>2.3730158730158732E-3</v>
      </c>
      <c r="AT109" s="713"/>
      <c r="AV109" s="713">
        <f>AVERAGE(AV108:AW108)</f>
        <v>3.6129032258064514E-3</v>
      </c>
      <c r="AW109" s="713"/>
      <c r="AY109" s="713">
        <f>AVERAGE(AY108:AZ108)</f>
        <v>2.5355113636363639E-3</v>
      </c>
      <c r="AZ109" s="713"/>
    </row>
    <row r="110" spans="1:52" hidden="1" x14ac:dyDescent="0.3">
      <c r="C110" s="694">
        <f>C91</f>
        <v>165</v>
      </c>
      <c r="D110" s="694">
        <f>C91</f>
        <v>165</v>
      </c>
      <c r="F110" s="694">
        <f>F91</f>
        <v>135</v>
      </c>
      <c r="G110" s="694">
        <f>F91</f>
        <v>135</v>
      </c>
      <c r="H110" s="2"/>
      <c r="I110" s="694">
        <f>I91</f>
        <v>225</v>
      </c>
      <c r="J110" s="694">
        <f>I91</f>
        <v>225</v>
      </c>
      <c r="L110" s="694">
        <f>L91</f>
        <v>210</v>
      </c>
      <c r="M110" s="694">
        <f>L91</f>
        <v>210</v>
      </c>
      <c r="N110" s="2"/>
      <c r="O110" s="694">
        <f>O91</f>
        <v>240</v>
      </c>
      <c r="P110" s="694">
        <f>O91</f>
        <v>240</v>
      </c>
      <c r="R110" s="694">
        <f>R91</f>
        <v>240</v>
      </c>
      <c r="S110" s="694">
        <f>R91</f>
        <v>240</v>
      </c>
      <c r="U110" s="694">
        <f>U91</f>
        <v>250</v>
      </c>
      <c r="V110" s="694">
        <f>U91</f>
        <v>250</v>
      </c>
      <c r="W110" s="2"/>
      <c r="X110" s="694">
        <f>X91</f>
        <v>140</v>
      </c>
      <c r="Y110" s="694">
        <f>X91</f>
        <v>140</v>
      </c>
      <c r="Z110" s="2"/>
      <c r="AA110" s="694">
        <f>AA91</f>
        <v>170</v>
      </c>
      <c r="AB110" s="694">
        <f>AA91</f>
        <v>170</v>
      </c>
      <c r="AC110" s="2"/>
      <c r="AD110" s="694">
        <f>AD91</f>
        <v>170</v>
      </c>
      <c r="AE110" s="694">
        <f>AD91</f>
        <v>170</v>
      </c>
      <c r="AG110" s="694">
        <f>AG91</f>
        <v>250</v>
      </c>
      <c r="AH110" s="694">
        <f>AG91</f>
        <v>250</v>
      </c>
      <c r="AJ110" s="694">
        <f>AJ91</f>
        <v>155</v>
      </c>
      <c r="AK110" s="694">
        <f>AJ91</f>
        <v>155</v>
      </c>
      <c r="AM110" s="694">
        <f>AM91</f>
        <v>100</v>
      </c>
      <c r="AN110" s="694">
        <f>AM91</f>
        <v>100</v>
      </c>
      <c r="AP110" s="694">
        <f>AP91</f>
        <v>95</v>
      </c>
      <c r="AQ110" s="694">
        <f>AP91</f>
        <v>95</v>
      </c>
      <c r="AR110" s="2"/>
      <c r="AS110" s="694">
        <f>AS91</f>
        <v>95</v>
      </c>
      <c r="AT110" s="694">
        <f>AS91</f>
        <v>95</v>
      </c>
      <c r="AV110" s="694">
        <f>AV91</f>
        <v>400</v>
      </c>
      <c r="AW110" s="694">
        <f>AV91</f>
        <v>400</v>
      </c>
      <c r="AY110" s="694">
        <f>AY91</f>
        <v>325</v>
      </c>
      <c r="AZ110" s="694">
        <f>AY91</f>
        <v>325</v>
      </c>
    </row>
    <row r="111" spans="1:52" hidden="1" x14ac:dyDescent="0.3">
      <c r="C111" s="695">
        <f>((C110/2)*C$106)/C$105</f>
        <v>3.3000000000000004E-3</v>
      </c>
      <c r="D111" s="695">
        <f>((D110/2)*D$106)/D$105</f>
        <v>2.5384615384615385E-3</v>
      </c>
      <c r="F111" s="695">
        <f>((F110/2)*F$106)/F$105</f>
        <v>2.7000000000000001E-3</v>
      </c>
      <c r="G111" s="695">
        <f>((G110/2)*G$106)/G$105</f>
        <v>2.2500000000000003E-3</v>
      </c>
      <c r="H111" s="2"/>
      <c r="I111" s="695">
        <f>((I110/2)*I$106)/I$105</f>
        <v>3.9130434782608699E-3</v>
      </c>
      <c r="J111" s="695">
        <f>((J110/2)*J$106)/J$105</f>
        <v>3.0000000000000001E-3</v>
      </c>
      <c r="L111" s="695">
        <f>((L110/2)*L$106)/L$105</f>
        <v>3.5000000000000001E-3</v>
      </c>
      <c r="M111" s="695">
        <f>((M110/2)*M$106)/M$105</f>
        <v>2.5454545454545456E-3</v>
      </c>
      <c r="N111" s="2"/>
      <c r="O111" s="695">
        <f>((O110/2)*O$106)/O$105</f>
        <v>3.5555555555555553E-3</v>
      </c>
      <c r="P111" s="695">
        <f>((P110/2)*P$106)/P$105</f>
        <v>2.3999999999999998E-3</v>
      </c>
      <c r="R111" s="695">
        <f>((R110/2)*R$106)/R$105</f>
        <v>3.4285714285714284E-3</v>
      </c>
      <c r="S111" s="695">
        <f>((S110/2)*S$106)/S$105</f>
        <v>2.6666666666666666E-3</v>
      </c>
      <c r="U111" s="695">
        <f>((U110/2)*U$106)/U$105</f>
        <v>2.631578947368421E-3</v>
      </c>
      <c r="V111" s="695">
        <f>((V110/2)*V$106)/V$105</f>
        <v>2E-3</v>
      </c>
      <c r="W111" s="2"/>
      <c r="X111" s="695">
        <f>((X110/2)*X$106)/X$105</f>
        <v>2.4347826086956524E-3</v>
      </c>
      <c r="Y111" s="695">
        <f>((Y110/2)*Y$106)/Y$105</f>
        <v>2E-3</v>
      </c>
      <c r="Z111" s="2"/>
      <c r="AA111" s="695">
        <f>((AA110/2)*AA$106)/AA$105</f>
        <v>2.7199999999999998E-3</v>
      </c>
      <c r="AB111" s="695">
        <f>((AB110/2)*AB$106)/AB$105</f>
        <v>2.4285714285714284E-3</v>
      </c>
      <c r="AC111" s="2"/>
      <c r="AD111" s="695">
        <f>((AD110/2)*AD$106)/AD$105</f>
        <v>2.1250000000000002E-3</v>
      </c>
      <c r="AE111" s="695">
        <f>((AE110/2)*AE$106)/AE$105</f>
        <v>1.6999999999999999E-3</v>
      </c>
      <c r="AG111" s="695">
        <f>((AG110/2)*AG$106)/AG$105</f>
        <v>2.7777777777777779E-3</v>
      </c>
      <c r="AH111" s="695">
        <f>((AH110/2)*AH$106)/AH$105</f>
        <v>2.1739130434782609E-3</v>
      </c>
      <c r="AJ111" s="695">
        <f>((AJ110/2)*AJ$106)/AJ$105</f>
        <v>2.0666666666666667E-3</v>
      </c>
      <c r="AK111" s="695">
        <f>((AK110/2)*AK$106)/AK$105</f>
        <v>1.6315789473684212E-3</v>
      </c>
      <c r="AM111" s="695">
        <f>((AM110/2)*AM$106)/AM$105</f>
        <v>2.1052631578947368E-3</v>
      </c>
      <c r="AN111" s="695">
        <f>((AN110/2)*AN$106)/AN$105</f>
        <v>1.4285714285714286E-3</v>
      </c>
      <c r="AP111" s="695">
        <f>((AP110/2)*AP$106)/AP$105</f>
        <v>2E-3</v>
      </c>
      <c r="AQ111" s="695">
        <f>((AQ110/2)*AQ$106)/AQ$105</f>
        <v>1.3571428571428573E-3</v>
      </c>
      <c r="AR111" s="2"/>
      <c r="AS111" s="695">
        <f>((AS110/2)*AS$106)/AS$105</f>
        <v>2.1111111111111113E-3</v>
      </c>
      <c r="AT111" s="695">
        <f>((AT110/2)*AT$106)/AT$105</f>
        <v>1.3571428571428573E-3</v>
      </c>
      <c r="AV111" s="695">
        <f>((AV110/2)*AV$106)/AV$105</f>
        <v>3.2000000000000002E-3</v>
      </c>
      <c r="AW111" s="695">
        <f>((AW110/2)*AW$106)/AW$105</f>
        <v>2.5806451612903226E-3</v>
      </c>
      <c r="AY111" s="695">
        <f>((AY110/2)*AY$106)/AY$105</f>
        <v>2.3636363636363638E-3</v>
      </c>
      <c r="AZ111" s="695">
        <f>((AZ110/2)*AZ$106)/AZ$105</f>
        <v>2.0312500000000001E-3</v>
      </c>
    </row>
    <row r="112" spans="1:52" hidden="1" x14ac:dyDescent="0.3">
      <c r="A112" s="696">
        <f>AVERAGE(C112:AZ112)</f>
        <v>2.441834869696674E-3</v>
      </c>
      <c r="C112" s="713">
        <f>AVERAGE(C111:D111)</f>
        <v>2.9192307692307694E-3</v>
      </c>
      <c r="D112" s="713"/>
      <c r="F112" s="713">
        <f>AVERAGE(F111:G111)</f>
        <v>2.4750000000000002E-3</v>
      </c>
      <c r="G112" s="713"/>
      <c r="H112" s="2"/>
      <c r="I112" s="713">
        <f>AVERAGE(I111:J111)</f>
        <v>3.456521739130435E-3</v>
      </c>
      <c r="J112" s="713"/>
      <c r="L112" s="713">
        <f>AVERAGE(L111:M111)</f>
        <v>3.0227272727272728E-3</v>
      </c>
      <c r="M112" s="713"/>
      <c r="N112" s="2"/>
      <c r="O112" s="713">
        <f>AVERAGE(O111:P111)</f>
        <v>2.9777777777777775E-3</v>
      </c>
      <c r="P112" s="713"/>
      <c r="R112" s="713">
        <f>AVERAGE(R111:S111)</f>
        <v>3.0476190476190473E-3</v>
      </c>
      <c r="S112" s="713"/>
      <c r="U112" s="713">
        <f>AVERAGE(U111:V111)</f>
        <v>2.3157894736842103E-3</v>
      </c>
      <c r="V112" s="713"/>
      <c r="W112" s="2"/>
      <c r="X112" s="713">
        <f>AVERAGE(X111:Y111)</f>
        <v>2.2173913043478264E-3</v>
      </c>
      <c r="Y112" s="713"/>
      <c r="Z112" s="2"/>
      <c r="AA112" s="713">
        <f>AVERAGE(AA111:AB111)</f>
        <v>2.5742857142857139E-3</v>
      </c>
      <c r="AB112" s="713"/>
      <c r="AC112" s="2"/>
      <c r="AD112" s="713">
        <f>AVERAGE(AD111:AE111)</f>
        <v>1.9125000000000001E-3</v>
      </c>
      <c r="AE112" s="713"/>
      <c r="AG112" s="713">
        <f>AVERAGE(AG111:AH111)</f>
        <v>2.4758454106280194E-3</v>
      </c>
      <c r="AH112" s="713"/>
      <c r="AJ112" s="713">
        <f>AVERAGE(AJ111:AK111)</f>
        <v>1.8491228070175439E-3</v>
      </c>
      <c r="AK112" s="713"/>
      <c r="AM112" s="713">
        <f>AVERAGE(AM111:AN111)</f>
        <v>1.7669172932330826E-3</v>
      </c>
      <c r="AN112" s="713"/>
      <c r="AP112" s="713">
        <f>AVERAGE(AP111:AQ111)</f>
        <v>1.6785714285714286E-3</v>
      </c>
      <c r="AQ112" s="713"/>
      <c r="AR112" s="2"/>
      <c r="AS112" s="713">
        <f>AVERAGE(AS111:AT111)</f>
        <v>1.7341269841269842E-3</v>
      </c>
      <c r="AT112" s="713"/>
      <c r="AV112" s="713">
        <f>AVERAGE(AV111:AW111)</f>
        <v>2.8903225806451611E-3</v>
      </c>
      <c r="AW112" s="713"/>
      <c r="AY112" s="713">
        <f>AVERAGE(AY111:AZ111)</f>
        <v>2.1974431818181819E-3</v>
      </c>
      <c r="AZ112" s="713"/>
    </row>
    <row r="113" spans="1:52" hidden="1" x14ac:dyDescent="0.3">
      <c r="C113" s="2"/>
      <c r="D113" s="2"/>
      <c r="F113" s="2"/>
      <c r="G113" s="2"/>
      <c r="H113" s="2"/>
      <c r="I113" s="2"/>
      <c r="J113" s="2"/>
      <c r="L113" s="2"/>
      <c r="M113" s="2"/>
      <c r="N113" s="2"/>
      <c r="O113" s="2"/>
      <c r="P113" s="2"/>
      <c r="R113" s="2"/>
      <c r="S113" s="2"/>
      <c r="U113" s="2"/>
      <c r="V113" s="2"/>
      <c r="W113" s="2"/>
      <c r="X113" s="2"/>
      <c r="Y113" s="2"/>
      <c r="Z113" s="2"/>
      <c r="AA113" s="2"/>
      <c r="AB113" s="2"/>
      <c r="AC113" s="2"/>
      <c r="AD113" s="2"/>
      <c r="AE113" s="2"/>
      <c r="AG113" s="2"/>
      <c r="AH113" s="2"/>
      <c r="AJ113" s="2"/>
      <c r="AK113" s="2"/>
      <c r="AM113" s="2"/>
      <c r="AN113" s="2"/>
      <c r="AP113" s="2"/>
      <c r="AQ113" s="2"/>
      <c r="AR113" s="2"/>
      <c r="AS113" s="2"/>
      <c r="AT113" s="2"/>
      <c r="AV113" s="2"/>
      <c r="AW113" s="2"/>
      <c r="AY113" s="2"/>
      <c r="AZ113" s="2"/>
    </row>
    <row r="114" spans="1:52" hidden="1" x14ac:dyDescent="0.3">
      <c r="C114" s="2"/>
      <c r="D114" s="2"/>
      <c r="F114" s="2"/>
      <c r="G114" s="2"/>
      <c r="H114" s="2"/>
      <c r="I114" s="2"/>
      <c r="J114" s="2"/>
      <c r="L114" s="2"/>
      <c r="M114" s="2"/>
      <c r="N114" s="2"/>
      <c r="O114" s="2"/>
      <c r="P114" s="2"/>
      <c r="R114" s="2"/>
      <c r="S114" s="2"/>
      <c r="U114" s="2"/>
      <c r="V114" s="2"/>
      <c r="W114" s="2"/>
      <c r="X114" s="2"/>
      <c r="Y114" s="2"/>
      <c r="Z114" s="2"/>
      <c r="AA114" s="2"/>
      <c r="AB114" s="2"/>
      <c r="AC114" s="2"/>
      <c r="AD114" s="2"/>
      <c r="AE114" s="2"/>
      <c r="AG114" s="2"/>
      <c r="AH114" s="2"/>
      <c r="AJ114" s="2"/>
      <c r="AK114" s="2"/>
      <c r="AM114" s="2"/>
      <c r="AN114" s="2"/>
      <c r="AP114" s="2"/>
      <c r="AQ114" s="2"/>
      <c r="AR114" s="2"/>
      <c r="AS114" s="2"/>
      <c r="AT114" s="2"/>
      <c r="AV114" s="2"/>
      <c r="AW114" s="2"/>
      <c r="AY114" s="2"/>
      <c r="AZ114" s="2"/>
    </row>
    <row r="115" spans="1:52" hidden="1" x14ac:dyDescent="0.3">
      <c r="A115" s="203" t="s">
        <v>438</v>
      </c>
      <c r="C115" s="690">
        <f>C105*1/100</f>
        <v>10</v>
      </c>
      <c r="D115" s="690">
        <f>D105*1/100</f>
        <v>13</v>
      </c>
      <c r="F115" s="690">
        <f>F105*1/100</f>
        <v>10</v>
      </c>
      <c r="G115" s="690">
        <f>G105*1/100</f>
        <v>12</v>
      </c>
      <c r="H115" s="2"/>
      <c r="I115" s="690">
        <f>I105*1/100</f>
        <v>11.5</v>
      </c>
      <c r="J115" s="690">
        <f>J105*1/100</f>
        <v>15</v>
      </c>
      <c r="L115" s="690">
        <f>L105*1/100</f>
        <v>12</v>
      </c>
      <c r="M115" s="690">
        <f>M105*1/100</f>
        <v>16.5</v>
      </c>
      <c r="N115" s="2"/>
      <c r="O115" s="690">
        <f>O105*1/100</f>
        <v>13.5</v>
      </c>
      <c r="P115" s="690">
        <f>P105*1/100</f>
        <v>20</v>
      </c>
      <c r="R115" s="690">
        <f>R105*1/100</f>
        <v>14</v>
      </c>
      <c r="S115" s="690">
        <f>S105*1/100</f>
        <v>18</v>
      </c>
      <c r="U115" s="690">
        <f>U105*1/100</f>
        <v>19</v>
      </c>
      <c r="V115" s="690">
        <f>V105*1/100</f>
        <v>25</v>
      </c>
      <c r="W115" s="2"/>
      <c r="X115" s="690">
        <f>X105*1/100</f>
        <v>11.5</v>
      </c>
      <c r="Y115" s="690">
        <f>Y105*1/100</f>
        <v>14</v>
      </c>
      <c r="Z115" s="2"/>
      <c r="AA115" s="690">
        <f>AA105*1/100</f>
        <v>12.5</v>
      </c>
      <c r="AB115" s="690">
        <f>AB105*1/100</f>
        <v>14</v>
      </c>
      <c r="AC115" s="2"/>
      <c r="AD115" s="690">
        <f>AD105*1/100</f>
        <v>16</v>
      </c>
      <c r="AE115" s="690">
        <f>AE105*1/100</f>
        <v>20</v>
      </c>
      <c r="AG115" s="690">
        <f>AG105*1/100</f>
        <v>18</v>
      </c>
      <c r="AH115" s="690">
        <f>AH105*1/100</f>
        <v>23</v>
      </c>
      <c r="AJ115" s="690">
        <f>AJ105*1/100</f>
        <v>15</v>
      </c>
      <c r="AK115" s="690">
        <f>AK105*1/100</f>
        <v>19</v>
      </c>
      <c r="AM115" s="690">
        <f>AM105*1/100</f>
        <v>9.5</v>
      </c>
      <c r="AN115" s="690">
        <f>AN105*1/100</f>
        <v>14</v>
      </c>
      <c r="AO115" s="690"/>
      <c r="AP115" s="690">
        <f>AP105*1/100</f>
        <v>9.5</v>
      </c>
      <c r="AQ115" s="690">
        <f>AQ105*1/100</f>
        <v>14</v>
      </c>
      <c r="AR115" s="2"/>
      <c r="AS115" s="690">
        <f>AS105*1/100</f>
        <v>9</v>
      </c>
      <c r="AT115" s="690">
        <f>AT105*1/100</f>
        <v>14</v>
      </c>
      <c r="AV115" s="690">
        <f>AV105*1/100</f>
        <v>25</v>
      </c>
      <c r="AW115" s="690">
        <f>AW105*1/100</f>
        <v>31</v>
      </c>
      <c r="AY115" s="690">
        <f>AY105*1/100</f>
        <v>27.5</v>
      </c>
      <c r="AZ115" s="690">
        <f>AZ105*1/100</f>
        <v>32</v>
      </c>
    </row>
    <row r="116" spans="1:52" hidden="1" x14ac:dyDescent="0.3">
      <c r="C116" s="697">
        <f>C115/C105</f>
        <v>0.01</v>
      </c>
      <c r="D116" s="697">
        <f>D115/D105</f>
        <v>0.01</v>
      </c>
      <c r="F116" s="697">
        <f>F115/F105</f>
        <v>0.01</v>
      </c>
      <c r="G116" s="697">
        <f>G115/G105</f>
        <v>0.01</v>
      </c>
      <c r="H116" s="2"/>
      <c r="I116" s="697">
        <f>I115/I105</f>
        <v>0.01</v>
      </c>
      <c r="J116" s="697">
        <f>J115/J105</f>
        <v>0.01</v>
      </c>
      <c r="L116" s="697">
        <f>L115/L105</f>
        <v>0.01</v>
      </c>
      <c r="M116" s="697">
        <f>M115/M105</f>
        <v>0.01</v>
      </c>
      <c r="N116" s="2"/>
      <c r="O116" s="697">
        <f>O115/O105</f>
        <v>0.01</v>
      </c>
      <c r="P116" s="697">
        <f>P115/P105</f>
        <v>0.01</v>
      </c>
      <c r="R116" s="697">
        <f>R115/R105</f>
        <v>0.01</v>
      </c>
      <c r="S116" s="697">
        <f>S115/S105</f>
        <v>0.01</v>
      </c>
      <c r="U116" s="697">
        <f>U115/U105</f>
        <v>0.01</v>
      </c>
      <c r="V116" s="697">
        <f>V115/V105</f>
        <v>0.01</v>
      </c>
      <c r="W116" s="2"/>
      <c r="X116" s="697">
        <f>X115/X105</f>
        <v>0.01</v>
      </c>
      <c r="Y116" s="697">
        <f>Y115/Y105</f>
        <v>0.01</v>
      </c>
      <c r="Z116" s="2"/>
      <c r="AA116" s="697">
        <f>AA115/AA105</f>
        <v>0.01</v>
      </c>
      <c r="AB116" s="697">
        <f>AB115/AB105</f>
        <v>0.01</v>
      </c>
      <c r="AC116" s="2"/>
      <c r="AD116" s="697">
        <f>AD115/AD105</f>
        <v>0.01</v>
      </c>
      <c r="AE116" s="697">
        <f>AE115/AE105</f>
        <v>0.01</v>
      </c>
      <c r="AG116" s="697">
        <f>AG115/AG105</f>
        <v>0.01</v>
      </c>
      <c r="AH116" s="697">
        <f>AH115/AH105</f>
        <v>0.01</v>
      </c>
      <c r="AJ116" s="697">
        <f>AJ115/AJ105</f>
        <v>0.01</v>
      </c>
      <c r="AK116" s="697">
        <f>AK115/AK105</f>
        <v>0.01</v>
      </c>
      <c r="AM116" s="697">
        <f>AM115/AM105</f>
        <v>0.01</v>
      </c>
      <c r="AN116" s="697">
        <f>AN115/AN105</f>
        <v>0.01</v>
      </c>
      <c r="AO116" s="697"/>
      <c r="AP116" s="697">
        <f>AP115/AP105</f>
        <v>0.01</v>
      </c>
      <c r="AQ116" s="697">
        <f>AQ115/AQ105</f>
        <v>0.01</v>
      </c>
      <c r="AR116" s="2"/>
      <c r="AS116" s="697">
        <f>AS115/AS105</f>
        <v>0.01</v>
      </c>
      <c r="AT116" s="697">
        <f>AT115/AT105</f>
        <v>0.01</v>
      </c>
      <c r="AV116" s="697">
        <f>AV115/AV105</f>
        <v>0.01</v>
      </c>
      <c r="AW116" s="697">
        <f>AW115/AW105</f>
        <v>0.01</v>
      </c>
      <c r="AY116" s="697">
        <f>AY115/AY105</f>
        <v>0.01</v>
      </c>
      <c r="AZ116" s="697">
        <f>AZ115/AZ105</f>
        <v>0.01</v>
      </c>
    </row>
    <row r="117" spans="1:52" hidden="1" x14ac:dyDescent="0.3">
      <c r="C117" s="2"/>
      <c r="D117" s="2"/>
      <c r="F117" s="2"/>
      <c r="G117" s="2"/>
      <c r="H117" s="2"/>
      <c r="I117" s="2"/>
      <c r="J117" s="2"/>
      <c r="L117" s="2"/>
      <c r="M117" s="2"/>
      <c r="N117" s="2"/>
      <c r="O117" s="2"/>
      <c r="P117" s="2"/>
      <c r="R117" s="2"/>
      <c r="S117" s="2"/>
      <c r="U117" s="2"/>
      <c r="V117" s="2"/>
      <c r="W117" s="2"/>
      <c r="X117" s="2"/>
      <c r="Y117" s="2"/>
      <c r="Z117" s="2"/>
      <c r="AA117" s="2"/>
      <c r="AB117" s="2"/>
      <c r="AC117" s="2"/>
      <c r="AD117" s="2"/>
      <c r="AE117" s="2"/>
      <c r="AG117" s="2"/>
      <c r="AH117" s="2"/>
      <c r="AJ117" s="2"/>
      <c r="AK117" s="2"/>
      <c r="AM117" s="2"/>
      <c r="AN117" s="2"/>
      <c r="AP117" s="2"/>
      <c r="AQ117" s="2"/>
      <c r="AR117" s="2"/>
      <c r="AS117" s="2"/>
      <c r="AT117" s="2"/>
      <c r="AV117" s="2"/>
      <c r="AW117" s="2"/>
      <c r="AY117" s="2"/>
      <c r="AZ117" s="2"/>
    </row>
    <row r="118" spans="1:52" hidden="1" x14ac:dyDescent="0.3">
      <c r="C118" s="698">
        <f>C$106*((C107+C107*((1-0.1)^5))/2)</f>
        <v>7.9524500000000016</v>
      </c>
      <c r="D118" s="698">
        <f>D$106*((D107+D107*((1-0.1)^5))/2)</f>
        <v>7.9524500000000016</v>
      </c>
      <c r="F118" s="698">
        <f>F$106*((F107+F107*((1-0.1)^5))/2)</f>
        <v>6.0438620000000007</v>
      </c>
      <c r="G118" s="698">
        <f>G$106*((G107+G107*((1-0.1)^5))/2)</f>
        <v>6.0438620000000007</v>
      </c>
      <c r="H118" s="2"/>
      <c r="I118" s="698">
        <f>I$106*((I107+I107*((1-0.1)^5))/2)</f>
        <v>8.747695000000002</v>
      </c>
      <c r="J118" s="698">
        <f>J$106*((J107+J107*((1-0.1)^5))/2)</f>
        <v>8.747695000000002</v>
      </c>
      <c r="L118" s="698">
        <f>L$106*((L107+L107*((1-0.1)^5))/2)</f>
        <v>7.9524500000000016</v>
      </c>
      <c r="M118" s="698">
        <f>M$106*((M107+M107*((1-0.1)^5))/2)</f>
        <v>7.9524500000000016</v>
      </c>
      <c r="N118" s="2"/>
      <c r="O118" s="698">
        <f>O$106*((O107+O107*((1-0.1)^5))/2)</f>
        <v>9.5429400000000015</v>
      </c>
      <c r="P118" s="698">
        <f>P$106*((P107+P107*((1-0.1)^5))/2)</f>
        <v>9.5429400000000015</v>
      </c>
      <c r="R118" s="698">
        <f>R$106*((R107+R107*((1-0.1)^5))/2)</f>
        <v>9.0657930000000011</v>
      </c>
      <c r="S118" s="698">
        <f>S$106*((S107+S107*((1-0.1)^5))/2)</f>
        <v>9.0657930000000011</v>
      </c>
      <c r="U118" s="698">
        <f>U$106*((U107+U107*((1-0.1)^5))/2)</f>
        <v>9.8610380000000006</v>
      </c>
      <c r="V118" s="698">
        <f>V$106*((V107+V107*((1-0.1)^5))/2)</f>
        <v>9.8610380000000006</v>
      </c>
      <c r="W118" s="2"/>
      <c r="X118" s="698">
        <f>X$106*((X107+X107*((1-0.1)^5))/2)</f>
        <v>5.7257640000000007</v>
      </c>
      <c r="Y118" s="698">
        <f>Y$106*((Y107+Y107*((1-0.1)^5))/2)</f>
        <v>5.7257640000000007</v>
      </c>
      <c r="Z118" s="2"/>
      <c r="AA118" s="698">
        <f>AA$106*((AA107+AA107*((1-0.1)^5))/2)</f>
        <v>6.3619600000000016</v>
      </c>
      <c r="AB118" s="698">
        <f>AB$106*((AB107+AB107*((1-0.1)^5))/2)</f>
        <v>6.3619600000000016</v>
      </c>
      <c r="AC118" s="2"/>
      <c r="AD118" s="698">
        <f>AD$106*((AD107+AD107*((1-0.1)^5))/2)</f>
        <v>6.0438620000000007</v>
      </c>
      <c r="AE118" s="698">
        <f>AE$106*((AE107+AE107*((1-0.1)^5))/2)</f>
        <v>6.0438620000000007</v>
      </c>
      <c r="AG118" s="698">
        <f>AG$106*((AG107+AG107*((1-0.1)^5))/2)</f>
        <v>10.338185000000001</v>
      </c>
      <c r="AH118" s="698">
        <f>AH$106*((AH107+AH107*((1-0.1)^5))/2)</f>
        <v>10.338185000000001</v>
      </c>
      <c r="AJ118" s="698">
        <f>AJ$106*((AJ107+AJ107*((1-0.1)^5))/2)</f>
        <v>6.9981560000000016</v>
      </c>
      <c r="AK118" s="698">
        <f>AK$106*((AK107+AK107*((1-0.1)^5))/2)</f>
        <v>6.9981560000000016</v>
      </c>
      <c r="AM118" s="698">
        <f>AM$106*((AM107+AM107*((1-0.1)^5))/2)</f>
        <v>4.4533720000000008</v>
      </c>
      <c r="AN118" s="698">
        <f>AN$106*((AN107+AN107*((1-0.1)^5))/2)</f>
        <v>4.4533720000000008</v>
      </c>
      <c r="AP118" s="698">
        <f>AP$106*((AP107+AP107*((1-0.1)^5))/2)</f>
        <v>4.1352740000000008</v>
      </c>
      <c r="AQ118" s="698">
        <f>AQ$106*((AQ107+AQ107*((1-0.1)^5))/2)</f>
        <v>4.1352740000000008</v>
      </c>
      <c r="AR118" s="2"/>
      <c r="AS118" s="698">
        <f>AS$106*((AS107+AS107*((1-0.1)^5))/2)</f>
        <v>4.1352740000000008</v>
      </c>
      <c r="AT118" s="698">
        <f>AT$106*((AT107+AT107*((1-0.1)^5))/2)</f>
        <v>4.1352740000000008</v>
      </c>
      <c r="AV118" s="698">
        <f>AV$106*((AV107+AV107*((1-0.1)^5))/2)</f>
        <v>15.904900000000003</v>
      </c>
      <c r="AW118" s="698">
        <f>AW$106*((AW107+AW107*((1-0.1)^5))/2)</f>
        <v>15.904900000000003</v>
      </c>
      <c r="AY118" s="698">
        <f>AY$106*((AY107+AY107*((1-0.1)^5))/2)</f>
        <v>11.928675</v>
      </c>
      <c r="AZ118" s="698">
        <f>AZ$106*((AZ107+AZ107*((1-0.1)^5))/2)</f>
        <v>11.928675</v>
      </c>
    </row>
    <row r="119" spans="1:52" hidden="1" x14ac:dyDescent="0.3">
      <c r="C119" s="695">
        <f>C118/C105</f>
        <v>7.9524500000000015E-3</v>
      </c>
      <c r="D119" s="695">
        <f>D118/D105</f>
        <v>6.1172692307692317E-3</v>
      </c>
      <c r="F119" s="695">
        <f>F118/F105</f>
        <v>6.0438620000000005E-3</v>
      </c>
      <c r="G119" s="695">
        <f>G118/G105</f>
        <v>5.0365516666666674E-3</v>
      </c>
      <c r="H119" s="2"/>
      <c r="I119" s="695">
        <f>I118/I105</f>
        <v>7.6066913043478278E-3</v>
      </c>
      <c r="J119" s="695">
        <f>J118/J105</f>
        <v>5.8317966666666683E-3</v>
      </c>
      <c r="L119" s="695">
        <f>L118/L105</f>
        <v>6.6270416666666682E-3</v>
      </c>
      <c r="M119" s="695">
        <f>M118/M105</f>
        <v>4.8196666666666674E-3</v>
      </c>
      <c r="N119" s="2"/>
      <c r="O119" s="695">
        <f>O118/O105</f>
        <v>7.068844444444446E-3</v>
      </c>
      <c r="P119" s="695">
        <f>P118/P105</f>
        <v>4.7714700000000007E-3</v>
      </c>
      <c r="R119" s="695">
        <f>R118/R105</f>
        <v>6.4755664285714295E-3</v>
      </c>
      <c r="S119" s="695">
        <f>S118/S105</f>
        <v>5.0365516666666674E-3</v>
      </c>
      <c r="U119" s="695">
        <f>U118/U105</f>
        <v>5.19002E-3</v>
      </c>
      <c r="V119" s="695">
        <f>V118/V105</f>
        <v>3.9444152000000007E-3</v>
      </c>
      <c r="W119" s="2"/>
      <c r="X119" s="695">
        <f>X118/X105</f>
        <v>4.978925217391305E-3</v>
      </c>
      <c r="Y119" s="695">
        <f>Y118/Y105</f>
        <v>4.0898314285714287E-3</v>
      </c>
      <c r="Z119" s="2"/>
      <c r="AA119" s="695">
        <f>AA118/AA105</f>
        <v>5.0895680000000009E-3</v>
      </c>
      <c r="AB119" s="695">
        <f>AB118/AB105</f>
        <v>4.544257142857144E-3</v>
      </c>
      <c r="AC119" s="2"/>
      <c r="AD119" s="695">
        <f>AD118/AD105</f>
        <v>3.7774137500000003E-3</v>
      </c>
      <c r="AE119" s="695">
        <f>AE118/AE105</f>
        <v>3.0219310000000003E-3</v>
      </c>
      <c r="AG119" s="695">
        <f>AG118/AG105</f>
        <v>5.7434361111111118E-3</v>
      </c>
      <c r="AH119" s="695">
        <f>AH118/AH105</f>
        <v>4.4948630434782609E-3</v>
      </c>
      <c r="AJ119" s="695">
        <f>AJ118/AJ105</f>
        <v>4.6654373333333346E-3</v>
      </c>
      <c r="AK119" s="695">
        <f>AK118/AK105</f>
        <v>3.6832400000000008E-3</v>
      </c>
      <c r="AM119" s="695">
        <f>AM118/AM105</f>
        <v>4.6877600000000009E-3</v>
      </c>
      <c r="AN119" s="695">
        <f>AN118/AN105</f>
        <v>3.1809800000000004E-3</v>
      </c>
      <c r="AP119" s="695">
        <f>AP118/AP105</f>
        <v>4.3529200000000006E-3</v>
      </c>
      <c r="AQ119" s="695">
        <f>AQ118/AQ105</f>
        <v>2.9537671428571436E-3</v>
      </c>
      <c r="AR119" s="2"/>
      <c r="AS119" s="695">
        <f>AS118/AS105</f>
        <v>4.5947488888888896E-3</v>
      </c>
      <c r="AT119" s="695">
        <f>AT118/AT105</f>
        <v>2.9537671428571436E-3</v>
      </c>
      <c r="AV119" s="695">
        <f>AV118/AV105</f>
        <v>6.3619600000000016E-3</v>
      </c>
      <c r="AW119" s="695">
        <f>AW118/AW105</f>
        <v>5.1306129032258072E-3</v>
      </c>
      <c r="AY119" s="695">
        <f>AY118/AY105</f>
        <v>4.3376999999999999E-3</v>
      </c>
      <c r="AZ119" s="695">
        <f>AZ118/AZ105</f>
        <v>3.7277109374999999E-3</v>
      </c>
    </row>
    <row r="120" spans="1:52" hidden="1" x14ac:dyDescent="0.3">
      <c r="A120" s="696">
        <f>AVERAGE(C120:AZ120)</f>
        <v>4.9674419701040548E-3</v>
      </c>
      <c r="C120" s="713">
        <f>AVERAGE(C119:D119)</f>
        <v>7.0348596153846166E-3</v>
      </c>
      <c r="D120" s="713"/>
      <c r="F120" s="713">
        <f>AVERAGE(F119:G119)</f>
        <v>5.5402068333333335E-3</v>
      </c>
      <c r="G120" s="713"/>
      <c r="H120" s="2"/>
      <c r="I120" s="713">
        <f>AVERAGE(I119:J119)</f>
        <v>6.7192439855072485E-3</v>
      </c>
      <c r="J120" s="713"/>
      <c r="L120" s="713">
        <f>AVERAGE(L119:M119)</f>
        <v>5.7233541666666683E-3</v>
      </c>
      <c r="M120" s="713"/>
      <c r="N120" s="2"/>
      <c r="O120" s="713">
        <f>AVERAGE(O119:P119)</f>
        <v>5.9201572222222238E-3</v>
      </c>
      <c r="P120" s="713"/>
      <c r="R120" s="713">
        <f>AVERAGE(R119:S119)</f>
        <v>5.7560590476190485E-3</v>
      </c>
      <c r="S120" s="713"/>
      <c r="U120" s="713">
        <f>AVERAGE(U119:V119)</f>
        <v>4.5672176000000004E-3</v>
      </c>
      <c r="V120" s="713"/>
      <c r="W120" s="2"/>
      <c r="X120" s="713">
        <f>AVERAGE(X119:Y119)</f>
        <v>4.5343783229813668E-3</v>
      </c>
      <c r="Y120" s="713"/>
      <c r="Z120" s="2"/>
      <c r="AA120" s="713">
        <f>AVERAGE(AA119:AB119)</f>
        <v>4.8169125714285724E-3</v>
      </c>
      <c r="AB120" s="713"/>
      <c r="AC120" s="2"/>
      <c r="AD120" s="713">
        <f>AVERAGE(AD119:AE119)</f>
        <v>3.3996723750000001E-3</v>
      </c>
      <c r="AE120" s="713"/>
      <c r="AG120" s="713">
        <f>AVERAGE(AG119:AH119)</f>
        <v>5.1191495772946859E-3</v>
      </c>
      <c r="AH120" s="713"/>
      <c r="AJ120" s="713">
        <f>AVERAGE(AJ119:AK119)</f>
        <v>4.1743386666666677E-3</v>
      </c>
      <c r="AK120" s="713"/>
      <c r="AM120" s="713">
        <f>AVERAGE(AM119:AN119)</f>
        <v>3.9343700000000004E-3</v>
      </c>
      <c r="AN120" s="713"/>
      <c r="AP120" s="713">
        <f>AVERAGE(AP119:AQ119)</f>
        <v>3.6533435714285719E-3</v>
      </c>
      <c r="AQ120" s="713"/>
      <c r="AR120" s="2"/>
      <c r="AS120" s="713">
        <f>AVERAGE(AS119:AT119)</f>
        <v>3.7742580158730164E-3</v>
      </c>
      <c r="AT120" s="713"/>
      <c r="AV120" s="713">
        <f>AVERAGE(AV119:AW119)</f>
        <v>5.7462864516129048E-3</v>
      </c>
      <c r="AW120" s="713"/>
      <c r="AY120" s="713">
        <f>AVERAGE(AY119:AZ119)</f>
        <v>4.0327054687499999E-3</v>
      </c>
      <c r="AZ120" s="713"/>
    </row>
    <row r="121" spans="1:52" hidden="1" x14ac:dyDescent="0.3">
      <c r="C121" s="2"/>
      <c r="D121" s="2"/>
      <c r="F121" s="2"/>
      <c r="G121" s="2"/>
      <c r="H121" s="2"/>
      <c r="I121" s="2"/>
      <c r="J121" s="2"/>
      <c r="L121" s="2"/>
      <c r="M121" s="2"/>
      <c r="N121" s="2"/>
      <c r="O121" s="2"/>
      <c r="P121" s="2"/>
      <c r="R121" s="2"/>
      <c r="S121" s="2"/>
      <c r="U121" s="2"/>
      <c r="V121" s="2"/>
      <c r="W121" s="2"/>
      <c r="X121" s="2"/>
      <c r="Y121" s="2"/>
      <c r="Z121" s="2"/>
      <c r="AA121" s="2"/>
      <c r="AB121" s="2"/>
      <c r="AC121" s="2"/>
      <c r="AD121" s="2"/>
      <c r="AE121" s="2"/>
      <c r="AG121" s="2"/>
      <c r="AH121" s="2"/>
      <c r="AJ121" s="2"/>
      <c r="AK121" s="2"/>
      <c r="AM121" s="2"/>
      <c r="AN121" s="2"/>
      <c r="AP121" s="2"/>
      <c r="AQ121" s="2"/>
      <c r="AR121" s="2"/>
      <c r="AS121" s="2"/>
      <c r="AT121" s="2"/>
      <c r="AV121" s="2"/>
      <c r="AW121" s="2"/>
      <c r="AY121" s="2"/>
      <c r="AZ121" s="2"/>
    </row>
    <row r="122" spans="1:52" hidden="1" x14ac:dyDescent="0.3">
      <c r="C122" s="698">
        <f>C$106*((C110+C110*((1-0.1)^5))/2)</f>
        <v>5.2486170000000003</v>
      </c>
      <c r="D122" s="698">
        <f>D$106*((D110+D110*((1-0.1)^5))/2)</f>
        <v>5.2486170000000003</v>
      </c>
      <c r="F122" s="698">
        <f>F$106*((F110+F110*((1-0.1)^5))/2)</f>
        <v>4.2943230000000003</v>
      </c>
      <c r="G122" s="698">
        <f>G$106*((G110+G110*((1-0.1)^5))/2)</f>
        <v>4.2943230000000003</v>
      </c>
      <c r="H122" s="2"/>
      <c r="I122" s="698">
        <f>I$106*((I110+I110*((1-0.1)^5))/2)</f>
        <v>7.1572050000000011</v>
      </c>
      <c r="J122" s="698">
        <f>J$106*((J110+J110*((1-0.1)^5))/2)</f>
        <v>7.1572050000000011</v>
      </c>
      <c r="L122" s="698">
        <f>L$106*((L110+L110*((1-0.1)^5))/2)</f>
        <v>6.6800580000000016</v>
      </c>
      <c r="M122" s="698">
        <f>M$106*((M110+M110*((1-0.1)^5))/2)</f>
        <v>6.6800580000000016</v>
      </c>
      <c r="N122" s="2"/>
      <c r="O122" s="698">
        <f>O$106*((O110+O110*((1-0.1)^5))/2)</f>
        <v>7.6343520000000016</v>
      </c>
      <c r="P122" s="698">
        <f>P$106*((P110+P110*((1-0.1)^5))/2)</f>
        <v>7.6343520000000016</v>
      </c>
      <c r="R122" s="698">
        <f>R$106*((R110+R110*((1-0.1)^5))/2)</f>
        <v>7.6343520000000016</v>
      </c>
      <c r="S122" s="698">
        <f>S$106*((S110+S110*((1-0.1)^5))/2)</f>
        <v>7.6343520000000016</v>
      </c>
      <c r="U122" s="698">
        <f>U$106*((U110+U110*((1-0.1)^5))/2)</f>
        <v>7.9524500000000016</v>
      </c>
      <c r="V122" s="698">
        <f>V$106*((V110+V110*((1-0.1)^5))/2)</f>
        <v>7.9524500000000016</v>
      </c>
      <c r="W122" s="2"/>
      <c r="X122" s="698">
        <f>X$106*((X110+X110*((1-0.1)^5))/2)</f>
        <v>4.4533720000000008</v>
      </c>
      <c r="Y122" s="698">
        <f>Y$106*((Y110+Y110*((1-0.1)^5))/2)</f>
        <v>4.4533720000000008</v>
      </c>
      <c r="Z122" s="2"/>
      <c r="AA122" s="698">
        <f>AA$106*((AA110+AA110*((1-0.1)^5))/2)</f>
        <v>5.4076660000000007</v>
      </c>
      <c r="AB122" s="698">
        <f>AB$106*((AB110+AB110*((1-0.1)^5))/2)</f>
        <v>5.4076660000000007</v>
      </c>
      <c r="AC122" s="2"/>
      <c r="AD122" s="698">
        <f>AD$106*((AD110+AD110*((1-0.1)^5))/2)</f>
        <v>5.4076660000000007</v>
      </c>
      <c r="AE122" s="698">
        <f>AE$106*((AE110+AE110*((1-0.1)^5))/2)</f>
        <v>5.4076660000000007</v>
      </c>
      <c r="AG122" s="698">
        <f>AG$106*((AG110+AG110*((1-0.1)^5))/2)</f>
        <v>7.9524500000000016</v>
      </c>
      <c r="AH122" s="698">
        <f>AH$106*((AH110+AH110*((1-0.1)^5))/2)</f>
        <v>7.9524500000000016</v>
      </c>
      <c r="AJ122" s="698">
        <f>AJ$106*((AJ110+AJ110*((1-0.1)^5))/2)</f>
        <v>4.9305190000000003</v>
      </c>
      <c r="AK122" s="698">
        <f>AK$106*((AK110+AK110*((1-0.1)^5))/2)</f>
        <v>4.9305190000000003</v>
      </c>
      <c r="AM122" s="698">
        <f>AM$106*((AM110+AM110*((1-0.1)^5))/2)</f>
        <v>3.1809800000000008</v>
      </c>
      <c r="AN122" s="698">
        <f>AN$106*((AN110+AN110*((1-0.1)^5))/2)</f>
        <v>3.1809800000000008</v>
      </c>
      <c r="AP122" s="698">
        <f>AP$106*((AP110+AP110*((1-0.1)^5))/2)</f>
        <v>3.0219310000000004</v>
      </c>
      <c r="AQ122" s="698">
        <f>AQ$106*((AQ110+AQ110*((1-0.1)^5))/2)</f>
        <v>3.0219310000000004</v>
      </c>
      <c r="AR122" s="2"/>
      <c r="AS122" s="698">
        <f>AS$106*((AS110+AS110*((1-0.1)^5))/2)</f>
        <v>3.0219310000000004</v>
      </c>
      <c r="AT122" s="698">
        <f>AT$106*((AT110+AT110*((1-0.1)^5))/2)</f>
        <v>3.0219310000000004</v>
      </c>
      <c r="AV122" s="698">
        <f>AV$106*((AV110+AV110*((1-0.1)^5))/2)</f>
        <v>12.723920000000003</v>
      </c>
      <c r="AW122" s="698">
        <f>AW$106*((AW110+AW110*((1-0.1)^5))/2)</f>
        <v>12.723920000000003</v>
      </c>
      <c r="AY122" s="698">
        <f>AY$106*((AY110+AY110*((1-0.1)^5))/2)</f>
        <v>10.338185000000001</v>
      </c>
      <c r="AZ122" s="698">
        <f>AZ$106*((AZ110+AZ110*((1-0.1)^5))/2)</f>
        <v>10.338185000000001</v>
      </c>
    </row>
    <row r="123" spans="1:52" hidden="1" x14ac:dyDescent="0.3">
      <c r="C123" s="695">
        <f>C122/C105</f>
        <v>5.2486170000000006E-3</v>
      </c>
      <c r="D123" s="695">
        <f>D122/D105</f>
        <v>4.0373976923076928E-3</v>
      </c>
      <c r="F123" s="695">
        <f>F122/F105</f>
        <v>4.2943230000000001E-3</v>
      </c>
      <c r="G123" s="695">
        <f>G122/G105</f>
        <v>3.5786025000000003E-3</v>
      </c>
      <c r="H123" s="2"/>
      <c r="I123" s="695">
        <f>I122/I105</f>
        <v>6.2236565217391312E-3</v>
      </c>
      <c r="J123" s="695">
        <f>J122/J105</f>
        <v>4.7714700000000007E-3</v>
      </c>
      <c r="L123" s="695">
        <f>L122/L105</f>
        <v>5.5667150000000016E-3</v>
      </c>
      <c r="M123" s="695">
        <f>M122/M105</f>
        <v>4.0485200000000008E-3</v>
      </c>
      <c r="N123" s="2"/>
      <c r="O123" s="695">
        <f>O122/O105</f>
        <v>5.6550755555555571E-3</v>
      </c>
      <c r="P123" s="695">
        <f>P122/P105</f>
        <v>3.8171760000000007E-3</v>
      </c>
      <c r="R123" s="695">
        <f>R122/R105</f>
        <v>5.4531085714285728E-3</v>
      </c>
      <c r="S123" s="695">
        <f>S122/S105</f>
        <v>4.2413066666666674E-3</v>
      </c>
      <c r="U123" s="695">
        <f>U122/U105</f>
        <v>4.1855000000000009E-3</v>
      </c>
      <c r="V123" s="695">
        <f>V122/V105</f>
        <v>3.1809800000000008E-3</v>
      </c>
      <c r="W123" s="2"/>
      <c r="X123" s="695">
        <f>X122/X105</f>
        <v>3.8724973913043487E-3</v>
      </c>
      <c r="Y123" s="695">
        <f>Y122/Y105</f>
        <v>3.1809800000000004E-3</v>
      </c>
      <c r="Z123" s="2"/>
      <c r="AA123" s="695">
        <f>AA122/AA105</f>
        <v>4.3261328000000002E-3</v>
      </c>
      <c r="AB123" s="695">
        <f>AB122/AB105</f>
        <v>3.8626185714285719E-3</v>
      </c>
      <c r="AC123" s="2"/>
      <c r="AD123" s="695">
        <f>AD122/AD105</f>
        <v>3.3797912500000003E-3</v>
      </c>
      <c r="AE123" s="695">
        <f>AE122/AE105</f>
        <v>2.7038330000000005E-3</v>
      </c>
      <c r="AG123" s="695">
        <f>AG122/AG105</f>
        <v>4.4180277777777785E-3</v>
      </c>
      <c r="AH123" s="695">
        <f>AH122/AH105</f>
        <v>3.4575869565217398E-3</v>
      </c>
      <c r="AJ123" s="695">
        <f>AJ122/AJ105</f>
        <v>3.2870126666666669E-3</v>
      </c>
      <c r="AK123" s="695">
        <f>AK122/AK105</f>
        <v>2.59501E-3</v>
      </c>
      <c r="AM123" s="695">
        <f>AM122/AM105</f>
        <v>3.3484000000000009E-3</v>
      </c>
      <c r="AN123" s="695">
        <f>AN122/AN105</f>
        <v>2.272128571428572E-3</v>
      </c>
      <c r="AP123" s="695">
        <f>AP122/AP105</f>
        <v>3.1809800000000004E-3</v>
      </c>
      <c r="AQ123" s="695">
        <f>AQ122/AQ105</f>
        <v>2.1585221428571432E-3</v>
      </c>
      <c r="AR123" s="2"/>
      <c r="AS123" s="695">
        <f>AS122/AS105</f>
        <v>3.3577011111111115E-3</v>
      </c>
      <c r="AT123" s="695">
        <f>AT122/AT105</f>
        <v>2.1585221428571432E-3</v>
      </c>
      <c r="AV123" s="695">
        <f>AV122/AV105</f>
        <v>5.0895680000000009E-3</v>
      </c>
      <c r="AW123" s="695">
        <f>AW122/AW105</f>
        <v>4.1044903225806459E-3</v>
      </c>
      <c r="AY123" s="695">
        <f>AY122/AY105</f>
        <v>3.7593400000000003E-3</v>
      </c>
      <c r="AZ123" s="695">
        <f>AZ122/AZ105</f>
        <v>3.2306828125000004E-3</v>
      </c>
    </row>
    <row r="124" spans="1:52" hidden="1" x14ac:dyDescent="0.3">
      <c r="A124" s="696">
        <f>AVERAGE(C124:AZ124)</f>
        <v>3.8837139419038631E-3</v>
      </c>
      <c r="C124" s="713">
        <f>AVERAGE(C123:D123)</f>
        <v>4.6430073461538462E-3</v>
      </c>
      <c r="D124" s="713"/>
      <c r="F124" s="713">
        <f>AVERAGE(F123:G123)</f>
        <v>3.9364627500000004E-3</v>
      </c>
      <c r="G124" s="713"/>
      <c r="H124" s="2"/>
      <c r="I124" s="713">
        <f>AVERAGE(I123:J123)</f>
        <v>5.497563260869566E-3</v>
      </c>
      <c r="J124" s="713"/>
      <c r="L124" s="713">
        <f>AVERAGE(L123:M123)</f>
        <v>4.8076175000000016E-3</v>
      </c>
      <c r="M124" s="713"/>
      <c r="N124" s="2"/>
      <c r="O124" s="713">
        <f>AVERAGE(O123:P123)</f>
        <v>4.7361257777777787E-3</v>
      </c>
      <c r="P124" s="713"/>
      <c r="R124" s="713">
        <f>AVERAGE(R123:S123)</f>
        <v>4.8472076190476197E-3</v>
      </c>
      <c r="S124" s="713"/>
      <c r="U124" s="713">
        <f>AVERAGE(U123:V123)</f>
        <v>3.6832400000000008E-3</v>
      </c>
      <c r="V124" s="713"/>
      <c r="W124" s="2"/>
      <c r="X124" s="713">
        <f>AVERAGE(X123:Y123)</f>
        <v>3.5267386956521745E-3</v>
      </c>
      <c r="Y124" s="713"/>
      <c r="Z124" s="2"/>
      <c r="AA124" s="713">
        <f>AVERAGE(AA123:AB123)</f>
        <v>4.0943756857142865E-3</v>
      </c>
      <c r="AB124" s="713"/>
      <c r="AC124" s="2"/>
      <c r="AD124" s="713">
        <f>AVERAGE(AD123:AE123)</f>
        <v>3.0418121250000004E-3</v>
      </c>
      <c r="AE124" s="713"/>
      <c r="AG124" s="713">
        <f>AVERAGE(AG123:AH123)</f>
        <v>3.9378073671497591E-3</v>
      </c>
      <c r="AH124" s="713"/>
      <c r="AJ124" s="713">
        <f>AVERAGE(AJ123:AK123)</f>
        <v>2.9410113333333335E-3</v>
      </c>
      <c r="AK124" s="713"/>
      <c r="AM124" s="713">
        <f>AVERAGE(AM123:AN123)</f>
        <v>2.8102642857142862E-3</v>
      </c>
      <c r="AN124" s="713"/>
      <c r="AP124" s="713">
        <f>AVERAGE(AP123:AQ123)</f>
        <v>2.669751071428572E-3</v>
      </c>
      <c r="AQ124" s="713"/>
      <c r="AR124" s="2"/>
      <c r="AS124" s="713">
        <f>AVERAGE(AS123:AT123)</f>
        <v>2.7581116269841275E-3</v>
      </c>
      <c r="AT124" s="713"/>
      <c r="AV124" s="713">
        <f>AVERAGE(AV123:AW123)</f>
        <v>4.5970291612903239E-3</v>
      </c>
      <c r="AW124" s="713"/>
      <c r="AY124" s="713">
        <f>AVERAGE(AY123:AZ123)</f>
        <v>3.4950114062500003E-3</v>
      </c>
      <c r="AZ124" s="713"/>
    </row>
    <row r="125" spans="1:52" hidden="1" x14ac:dyDescent="0.3"/>
    <row r="126" spans="1:52" hidden="1" x14ac:dyDescent="0.3"/>
    <row r="127" spans="1:52" hidden="1" x14ac:dyDescent="0.3"/>
    <row r="128" spans="1:52" hidden="1" x14ac:dyDescent="0.3"/>
    <row r="129" hidden="1" x14ac:dyDescent="0.3"/>
  </sheetData>
  <sheetProtection algorithmName="SHA-512" hashValue="mGm1Kf8145qdxSRrjlSJQpJ8CRuqdtDyiqnh0vTmt0CQgSH2uAfHGYBbRkHVptigqZdcdPsDEtEYc86jMszBmA==" saltValue="GNpBXglwnKicyvRcxwKkRw==" spinCount="100000" sheet="1" objects="1" scenarios="1"/>
  <mergeCells count="218">
    <mergeCell ref="AR7:AT7"/>
    <mergeCell ref="AR8:AT8"/>
    <mergeCell ref="AR9:AT9"/>
    <mergeCell ref="AI4:AK4"/>
    <mergeCell ref="Z4:AB4"/>
    <mergeCell ref="W4:Y4"/>
    <mergeCell ref="AC4:AE4"/>
    <mergeCell ref="AC6:AE6"/>
    <mergeCell ref="AF6:AH6"/>
    <mergeCell ref="AF5:AH5"/>
    <mergeCell ref="AI6:AK6"/>
    <mergeCell ref="AI5:AK5"/>
    <mergeCell ref="AL4:AN4"/>
    <mergeCell ref="AO4:AQ4"/>
    <mergeCell ref="AF4:AH4"/>
    <mergeCell ref="AL6:AN6"/>
    <mergeCell ref="AI7:AK7"/>
    <mergeCell ref="W8:Y8"/>
    <mergeCell ref="AC5:AE5"/>
    <mergeCell ref="AC8:AE8"/>
    <mergeCell ref="AF8:AH8"/>
    <mergeCell ref="AC7:AE7"/>
    <mergeCell ref="AF7:AH7"/>
    <mergeCell ref="AO7:AQ7"/>
    <mergeCell ref="Z7:AB7"/>
    <mergeCell ref="N6:P6"/>
    <mergeCell ref="B4:D4"/>
    <mergeCell ref="E4:G4"/>
    <mergeCell ref="K4:M4"/>
    <mergeCell ref="Q4:S4"/>
    <mergeCell ref="T4:V4"/>
    <mergeCell ref="B5:D5"/>
    <mergeCell ref="E5:G5"/>
    <mergeCell ref="W5:Y5"/>
    <mergeCell ref="Z5:AB5"/>
    <mergeCell ref="H4:J4"/>
    <mergeCell ref="N4:P4"/>
    <mergeCell ref="T5:V5"/>
    <mergeCell ref="Q5:S5"/>
    <mergeCell ref="K5:M5"/>
    <mergeCell ref="Z8:AB8"/>
    <mergeCell ref="AI8:AK8"/>
    <mergeCell ref="K8:M8"/>
    <mergeCell ref="Q8:S8"/>
    <mergeCell ref="T8:V8"/>
    <mergeCell ref="B9:D9"/>
    <mergeCell ref="E9:G9"/>
    <mergeCell ref="H9:J9"/>
    <mergeCell ref="B6:D6"/>
    <mergeCell ref="E6:G6"/>
    <mergeCell ref="K6:M6"/>
    <mergeCell ref="Q6:S6"/>
    <mergeCell ref="T6:V6"/>
    <mergeCell ref="W6:Y6"/>
    <mergeCell ref="H8:J8"/>
    <mergeCell ref="N8:P8"/>
    <mergeCell ref="N9:P9"/>
    <mergeCell ref="Z6:AB6"/>
    <mergeCell ref="H6:J6"/>
    <mergeCell ref="N7:P7"/>
    <mergeCell ref="K7:M7"/>
    <mergeCell ref="Q7:S7"/>
    <mergeCell ref="T7:V7"/>
    <mergeCell ref="W7:Y7"/>
    <mergeCell ref="AU4:AW4"/>
    <mergeCell ref="AX4:AZ4"/>
    <mergeCell ref="AU5:AW5"/>
    <mergeCell ref="AX5:AZ5"/>
    <mergeCell ref="AU6:AW6"/>
    <mergeCell ref="AX6:AZ6"/>
    <mergeCell ref="AO10:AQ10"/>
    <mergeCell ref="AL10:AN10"/>
    <mergeCell ref="AI10:AK10"/>
    <mergeCell ref="AL8:AN8"/>
    <mergeCell ref="AO8:AQ8"/>
    <mergeCell ref="AI9:AK9"/>
    <mergeCell ref="AO5:AQ5"/>
    <mergeCell ref="AL5:AN5"/>
    <mergeCell ref="AR4:AT4"/>
    <mergeCell ref="AR10:AT10"/>
    <mergeCell ref="AR6:AT6"/>
    <mergeCell ref="AU7:AW7"/>
    <mergeCell ref="AX7:AZ7"/>
    <mergeCell ref="AU8:AW8"/>
    <mergeCell ref="AX8:AZ8"/>
    <mergeCell ref="AU9:AW9"/>
    <mergeCell ref="AL7:AN7"/>
    <mergeCell ref="AO9:AQ9"/>
    <mergeCell ref="AO6:AQ6"/>
    <mergeCell ref="AR32:AT32"/>
    <mergeCell ref="AU32:AW32"/>
    <mergeCell ref="AX32:AZ32"/>
    <mergeCell ref="AO32:AQ32"/>
    <mergeCell ref="AL32:AN32"/>
    <mergeCell ref="AI32:AK32"/>
    <mergeCell ref="AF32:AH32"/>
    <mergeCell ref="B8:D8"/>
    <mergeCell ref="E8:G8"/>
    <mergeCell ref="E10:G10"/>
    <mergeCell ref="B10:D10"/>
    <mergeCell ref="AF10:AH10"/>
    <mergeCell ref="AC10:AE10"/>
    <mergeCell ref="Z10:AB10"/>
    <mergeCell ref="W10:Y10"/>
    <mergeCell ref="T10:V10"/>
    <mergeCell ref="K10:M10"/>
    <mergeCell ref="Q10:S10"/>
    <mergeCell ref="H10:J10"/>
    <mergeCell ref="N10:P10"/>
    <mergeCell ref="B7:D7"/>
    <mergeCell ref="E7:G7"/>
    <mergeCell ref="H7:J7"/>
    <mergeCell ref="AU10:AW10"/>
    <mergeCell ref="AX10:AZ10"/>
    <mergeCell ref="Z32:AB32"/>
    <mergeCell ref="W32:Y32"/>
    <mergeCell ref="T32:V32"/>
    <mergeCell ref="Q32:S32"/>
    <mergeCell ref="N32:P32"/>
    <mergeCell ref="K32:M32"/>
    <mergeCell ref="AX9:AZ9"/>
    <mergeCell ref="AL9:AN9"/>
    <mergeCell ref="K9:M9"/>
    <mergeCell ref="Q9:S9"/>
    <mergeCell ref="W9:Y9"/>
    <mergeCell ref="T9:V9"/>
    <mergeCell ref="Z9:AB9"/>
    <mergeCell ref="AC9:AE9"/>
    <mergeCell ref="AF9:AH9"/>
    <mergeCell ref="H32:J32"/>
    <mergeCell ref="E32:G32"/>
    <mergeCell ref="B32:D32"/>
    <mergeCell ref="AF33:AH33"/>
    <mergeCell ref="AI33:AK33"/>
    <mergeCell ref="AL33:AN33"/>
    <mergeCell ref="AO33:AQ33"/>
    <mergeCell ref="AR33:AT33"/>
    <mergeCell ref="AU33:AW33"/>
    <mergeCell ref="AC32:AE32"/>
    <mergeCell ref="AX33:AZ33"/>
    <mergeCell ref="B33:D33"/>
    <mergeCell ref="E33:G33"/>
    <mergeCell ref="H33:J33"/>
    <mergeCell ref="K33:M33"/>
    <mergeCell ref="N33:P33"/>
    <mergeCell ref="Q33:S33"/>
    <mergeCell ref="T33:V33"/>
    <mergeCell ref="W33:Y33"/>
    <mergeCell ref="Z33:AB33"/>
    <mergeCell ref="AC33:AE33"/>
    <mergeCell ref="C109:D109"/>
    <mergeCell ref="F109:G109"/>
    <mergeCell ref="I109:J109"/>
    <mergeCell ref="L109:M109"/>
    <mergeCell ref="O109:P109"/>
    <mergeCell ref="R109:S109"/>
    <mergeCell ref="U109:V109"/>
    <mergeCell ref="X109:Y109"/>
    <mergeCell ref="AA109:AB109"/>
    <mergeCell ref="AD109:AE109"/>
    <mergeCell ref="AG109:AH109"/>
    <mergeCell ref="AJ109:AK109"/>
    <mergeCell ref="AM109:AN109"/>
    <mergeCell ref="AP109:AQ109"/>
    <mergeCell ref="AS109:AT109"/>
    <mergeCell ref="AV109:AW109"/>
    <mergeCell ref="AY109:AZ109"/>
    <mergeCell ref="C112:D112"/>
    <mergeCell ref="F112:G112"/>
    <mergeCell ref="I112:J112"/>
    <mergeCell ref="L112:M112"/>
    <mergeCell ref="O112:P112"/>
    <mergeCell ref="R112:S112"/>
    <mergeCell ref="U112:V112"/>
    <mergeCell ref="X112:Y112"/>
    <mergeCell ref="AA112:AB112"/>
    <mergeCell ref="AD112:AE112"/>
    <mergeCell ref="AG112:AH112"/>
    <mergeCell ref="AJ112:AK112"/>
    <mergeCell ref="AM112:AN112"/>
    <mergeCell ref="AP112:AQ112"/>
    <mergeCell ref="AS112:AT112"/>
    <mergeCell ref="AV112:AW112"/>
    <mergeCell ref="AY112:AZ112"/>
    <mergeCell ref="C120:D120"/>
    <mergeCell ref="F120:G120"/>
    <mergeCell ref="I120:J120"/>
    <mergeCell ref="L120:M120"/>
    <mergeCell ref="O120:P120"/>
    <mergeCell ref="R120:S120"/>
    <mergeCell ref="U120:V120"/>
    <mergeCell ref="X120:Y120"/>
    <mergeCell ref="AA120:AB120"/>
    <mergeCell ref="AD120:AE120"/>
    <mergeCell ref="AG120:AH120"/>
    <mergeCell ref="AJ120:AK120"/>
    <mergeCell ref="AM120:AN120"/>
    <mergeCell ref="AP120:AQ120"/>
    <mergeCell ref="AS120:AT120"/>
    <mergeCell ref="AV120:AW120"/>
    <mergeCell ref="AY120:AZ120"/>
    <mergeCell ref="AD124:AE124"/>
    <mergeCell ref="AG124:AH124"/>
    <mergeCell ref="AJ124:AK124"/>
    <mergeCell ref="AM124:AN124"/>
    <mergeCell ref="AP124:AQ124"/>
    <mergeCell ref="AS124:AT124"/>
    <mergeCell ref="AV124:AW124"/>
    <mergeCell ref="AY124:AZ124"/>
    <mergeCell ref="C124:D124"/>
    <mergeCell ref="F124:G124"/>
    <mergeCell ref="I124:J124"/>
    <mergeCell ref="L124:M124"/>
    <mergeCell ref="O124:P124"/>
    <mergeCell ref="R124:S124"/>
    <mergeCell ref="U124:V124"/>
    <mergeCell ref="X124:Y124"/>
    <mergeCell ref="AA124:AB124"/>
  </mergeCells>
  <printOptions horizontalCentered="1" verticalCentered="1"/>
  <pageMargins left="0.19685039370078741" right="0.19685039370078741" top="0.39370078740157483" bottom="0.78740157480314965" header="0" footer="0.59055118110236227"/>
  <pageSetup paperSize="8" scale="47" orientation="landscape" r:id="rId1"/>
  <headerFooter>
    <oddFooter>&amp;LChambre d'Agriculture de l'Yonne / Agroéquipement&amp;CRéférences Mécanisation pour utilisation Flash'Méca&amp;R&amp;D  /&amp;F  / &amp;A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99"/>
  <sheetViews>
    <sheetView topLeftCell="A100" workbookViewId="0">
      <selection activeCell="A100" sqref="A1:XFD1048576"/>
    </sheetView>
  </sheetViews>
  <sheetFormatPr baseColWidth="10" defaultRowHeight="14.4" x14ac:dyDescent="0.3"/>
  <cols>
    <col min="1" max="1" width="21.5546875" bestFit="1" customWidth="1"/>
    <col min="2" max="2" width="18.109375" customWidth="1"/>
    <col min="3" max="9" width="8.6640625" customWidth="1"/>
    <col min="10" max="10" width="4" customWidth="1"/>
    <col min="11" max="23" width="6.6640625" customWidth="1"/>
    <col min="25" max="30" width="11.5546875" customWidth="1"/>
  </cols>
  <sheetData>
    <row r="1" spans="1:38" s="2" customFormat="1" ht="24.6" hidden="1" x14ac:dyDescent="0.3">
      <c r="A1" s="202" t="s">
        <v>0</v>
      </c>
      <c r="B1" s="203"/>
      <c r="C1" s="3"/>
      <c r="D1" s="3"/>
      <c r="E1" s="203"/>
      <c r="F1" s="3"/>
      <c r="G1" s="3"/>
      <c r="H1" s="203"/>
      <c r="I1" s="3"/>
      <c r="J1" s="3"/>
      <c r="K1" s="203"/>
      <c r="L1" s="3"/>
      <c r="M1" s="3"/>
      <c r="N1" s="203"/>
      <c r="O1" s="3"/>
      <c r="P1" s="3"/>
      <c r="Q1" s="3"/>
      <c r="R1" s="3"/>
      <c r="S1" s="3"/>
      <c r="T1" s="3"/>
      <c r="U1" s="3"/>
      <c r="V1" s="3"/>
      <c r="W1" s="3"/>
      <c r="X1" s="3"/>
      <c r="Y1" s="3"/>
      <c r="Z1" s="203"/>
      <c r="AA1" s="203"/>
      <c r="AB1" s="3"/>
      <c r="AC1" s="3"/>
      <c r="AD1" s="203"/>
      <c r="AE1" s="3"/>
      <c r="AF1" s="3"/>
      <c r="AG1" s="203"/>
      <c r="AH1" s="3"/>
      <c r="AI1" s="3"/>
      <c r="AJ1" s="203"/>
      <c r="AK1" s="3"/>
      <c r="AL1" s="3"/>
    </row>
    <row r="2" spans="1:38" s="2" customFormat="1" ht="22.8" hidden="1" x14ac:dyDescent="0.4">
      <c r="A2" s="204" t="s">
        <v>215</v>
      </c>
      <c r="B2" s="203"/>
      <c r="C2" s="3"/>
      <c r="D2" s="3"/>
      <c r="E2" s="203"/>
      <c r="F2" s="3"/>
      <c r="G2" s="3"/>
      <c r="H2" s="203"/>
      <c r="I2" s="3"/>
      <c r="J2" s="3"/>
      <c r="K2" s="203"/>
      <c r="L2" s="3"/>
      <c r="M2" s="3"/>
      <c r="N2" s="203"/>
      <c r="O2" s="3"/>
      <c r="P2" s="3"/>
      <c r="Q2" s="3"/>
      <c r="R2" s="3"/>
      <c r="S2" s="3"/>
      <c r="T2" s="3"/>
      <c r="U2" s="3"/>
      <c r="V2" s="3"/>
      <c r="W2" s="3"/>
      <c r="X2" s="3"/>
      <c r="Y2" s="3"/>
      <c r="Z2" s="203"/>
      <c r="AA2" s="203"/>
      <c r="AB2" s="3"/>
      <c r="AC2" s="3"/>
      <c r="AD2" s="203"/>
      <c r="AE2" s="3"/>
      <c r="AF2" s="3"/>
      <c r="AG2" s="203"/>
      <c r="AH2" s="3"/>
      <c r="AI2" s="3"/>
      <c r="AJ2" s="203"/>
      <c r="AK2" s="3"/>
      <c r="AL2" s="3"/>
    </row>
    <row r="3" spans="1:38" s="2" customFormat="1" ht="17.399999999999999" hidden="1" x14ac:dyDescent="0.3">
      <c r="A3" s="205" t="s">
        <v>364</v>
      </c>
      <c r="B3" s="203"/>
      <c r="C3" s="3"/>
      <c r="D3" s="3"/>
      <c r="E3" s="203"/>
      <c r="F3" s="3"/>
      <c r="G3" s="3"/>
      <c r="H3" s="203"/>
      <c r="I3" s="3"/>
      <c r="J3" s="3"/>
      <c r="K3" s="203"/>
      <c r="L3" s="3"/>
      <c r="M3" s="3"/>
      <c r="N3" s="203"/>
      <c r="O3" s="3"/>
      <c r="P3" s="3"/>
      <c r="Q3" s="3"/>
      <c r="R3" s="3"/>
      <c r="S3" s="3"/>
      <c r="T3" s="3"/>
      <c r="U3" s="3"/>
      <c r="V3" s="3"/>
      <c r="W3" s="3"/>
      <c r="X3" s="3"/>
      <c r="Y3" s="3"/>
      <c r="Z3" s="203"/>
      <c r="AA3" s="203"/>
      <c r="AB3" s="3"/>
      <c r="AC3" s="3"/>
      <c r="AD3" s="203"/>
      <c r="AE3" s="3"/>
      <c r="AF3" s="3"/>
      <c r="AG3" s="203"/>
      <c r="AH3" s="3"/>
      <c r="AI3" s="3"/>
      <c r="AJ3" s="203"/>
      <c r="AK3" s="3"/>
      <c r="AL3" s="3"/>
    </row>
    <row r="4" spans="1:38" hidden="1" x14ac:dyDescent="0.3"/>
    <row r="5" spans="1:38" hidden="1" x14ac:dyDescent="0.3"/>
    <row r="6" spans="1:38" hidden="1" x14ac:dyDescent="0.3"/>
    <row r="7" spans="1:38" hidden="1" x14ac:dyDescent="0.3"/>
    <row r="8" spans="1:38" hidden="1" x14ac:dyDescent="0.3"/>
    <row r="9" spans="1:38" hidden="1" x14ac:dyDescent="0.3">
      <c r="C9" s="787" t="s">
        <v>198</v>
      </c>
      <c r="D9" s="788"/>
      <c r="E9" s="788"/>
      <c r="F9" s="304"/>
      <c r="G9" s="787" t="s">
        <v>199</v>
      </c>
      <c r="H9" s="788"/>
      <c r="I9" s="788"/>
      <c r="J9" s="305"/>
      <c r="K9" s="306" t="s">
        <v>200</v>
      </c>
      <c r="L9" s="307"/>
      <c r="M9" s="307"/>
      <c r="N9" s="307"/>
      <c r="O9" s="308"/>
      <c r="P9" s="307"/>
      <c r="Q9" s="307"/>
      <c r="R9" s="307"/>
      <c r="S9" s="308"/>
      <c r="T9" s="307"/>
      <c r="U9" s="307"/>
      <c r="V9" s="307"/>
      <c r="W9" s="305"/>
    </row>
    <row r="10" spans="1:38" hidden="1" x14ac:dyDescent="0.3">
      <c r="A10" s="309" t="s">
        <v>201</v>
      </c>
      <c r="B10" s="310" t="s">
        <v>194</v>
      </c>
      <c r="C10" s="311"/>
      <c r="D10" s="312"/>
      <c r="E10" s="313"/>
      <c r="F10" s="314"/>
      <c r="G10" s="315" t="s">
        <v>202</v>
      </c>
      <c r="H10" s="316" t="s">
        <v>203</v>
      </c>
      <c r="I10" s="317" t="s">
        <v>204</v>
      </c>
      <c r="J10" s="310"/>
      <c r="K10" s="789" t="s">
        <v>202</v>
      </c>
      <c r="L10" s="790"/>
      <c r="M10" s="790"/>
      <c r="N10" s="790"/>
      <c r="O10" s="779" t="s">
        <v>203</v>
      </c>
      <c r="P10" s="780"/>
      <c r="Q10" s="780"/>
      <c r="R10" s="781"/>
      <c r="S10" s="782" t="s">
        <v>204</v>
      </c>
      <c r="T10" s="783"/>
      <c r="U10" s="783"/>
      <c r="V10" s="784"/>
      <c r="W10" s="310"/>
      <c r="Y10" s="392"/>
      <c r="Z10" s="398" t="s">
        <v>230</v>
      </c>
      <c r="AA10" s="398" t="s">
        <v>230</v>
      </c>
      <c r="AB10" s="398" t="s">
        <v>219</v>
      </c>
      <c r="AC10" s="393" t="s">
        <v>231</v>
      </c>
    </row>
    <row r="11" spans="1:38" hidden="1" x14ac:dyDescent="0.3">
      <c r="A11" s="318"/>
      <c r="B11" s="319"/>
      <c r="C11" s="320"/>
      <c r="D11" s="321"/>
      <c r="E11" s="322"/>
      <c r="F11" s="323"/>
      <c r="G11" s="324"/>
      <c r="H11" s="325"/>
      <c r="I11" s="326"/>
      <c r="J11" s="319"/>
      <c r="K11" s="327"/>
      <c r="L11" s="328"/>
      <c r="M11" s="328"/>
      <c r="N11" s="328"/>
      <c r="O11" s="329"/>
      <c r="P11" s="330"/>
      <c r="Q11" s="330"/>
      <c r="R11" s="331"/>
      <c r="S11" s="332"/>
      <c r="T11" s="333"/>
      <c r="U11" s="333"/>
      <c r="V11" s="334"/>
      <c r="W11" s="319"/>
      <c r="Y11" s="394"/>
      <c r="Z11" s="399"/>
      <c r="AA11" s="399" t="s">
        <v>229</v>
      </c>
      <c r="AB11" s="399"/>
      <c r="AC11" s="395"/>
    </row>
    <row r="12" spans="1:38" ht="81.599999999999994" hidden="1" x14ac:dyDescent="0.3">
      <c r="A12" s="335"/>
      <c r="B12" s="336"/>
      <c r="C12" s="337"/>
      <c r="D12" s="338"/>
      <c r="E12" s="339"/>
      <c r="F12" s="340"/>
      <c r="G12" s="337"/>
      <c r="H12" s="338"/>
      <c r="I12" s="339"/>
      <c r="J12" s="336"/>
      <c r="K12" s="341" t="s">
        <v>194</v>
      </c>
      <c r="L12" s="342" t="s">
        <v>205</v>
      </c>
      <c r="M12" s="342" t="s">
        <v>206</v>
      </c>
      <c r="N12" s="342" t="s">
        <v>207</v>
      </c>
      <c r="O12" s="341" t="s">
        <v>194</v>
      </c>
      <c r="P12" s="342" t="s">
        <v>205</v>
      </c>
      <c r="Q12" s="342" t="s">
        <v>206</v>
      </c>
      <c r="R12" s="342" t="s">
        <v>207</v>
      </c>
      <c r="S12" s="341" t="s">
        <v>194</v>
      </c>
      <c r="T12" s="342" t="s">
        <v>205</v>
      </c>
      <c r="U12" s="342" t="s">
        <v>206</v>
      </c>
      <c r="V12" s="343" t="s">
        <v>207</v>
      </c>
      <c r="W12" s="336"/>
      <c r="Y12" s="396" t="s">
        <v>195</v>
      </c>
      <c r="Z12" s="400" t="s">
        <v>196</v>
      </c>
      <c r="AA12" s="400" t="s">
        <v>196</v>
      </c>
      <c r="AB12" s="400" t="s">
        <v>111</v>
      </c>
      <c r="AC12" s="397" t="s">
        <v>197</v>
      </c>
    </row>
    <row r="13" spans="1:38" hidden="1" x14ac:dyDescent="0.3">
      <c r="A13" s="344" t="s">
        <v>184</v>
      </c>
      <c r="B13" s="345" t="s">
        <v>208</v>
      </c>
      <c r="C13" s="346">
        <v>71.179527540332458</v>
      </c>
      <c r="D13" s="347">
        <v>107.84054201009116</v>
      </c>
      <c r="E13" s="348">
        <v>134.99735742684027</v>
      </c>
      <c r="F13" s="349" t="s">
        <v>209</v>
      </c>
      <c r="G13" s="350">
        <v>11.964577013746091</v>
      </c>
      <c r="H13" s="351">
        <v>16.581782254817529</v>
      </c>
      <c r="I13" s="351">
        <v>20.00199831502654</v>
      </c>
      <c r="J13" s="352" t="s">
        <v>209</v>
      </c>
      <c r="K13" s="353">
        <v>11.964577013746091</v>
      </c>
      <c r="L13" s="353">
        <v>19.37362463279371</v>
      </c>
      <c r="M13" s="353">
        <v>24.56564863279371</v>
      </c>
      <c r="N13" s="353">
        <v>35.451362918507996</v>
      </c>
      <c r="O13" s="353">
        <v>16.581782254817529</v>
      </c>
      <c r="P13" s="353">
        <v>23.990829873865149</v>
      </c>
      <c r="Q13" s="353">
        <v>29.182853873865149</v>
      </c>
      <c r="R13" s="354">
        <v>40.068568159579435</v>
      </c>
      <c r="S13" s="353">
        <v>20.00199831502654</v>
      </c>
      <c r="T13" s="353">
        <v>27.41104593407416</v>
      </c>
      <c r="U13" s="353">
        <v>32.603069934074156</v>
      </c>
      <c r="V13" s="354">
        <v>43.488784219788442</v>
      </c>
      <c r="W13" s="355" t="s">
        <v>209</v>
      </c>
      <c r="Y13" s="402">
        <f>'Calcul FLASH''MECA'!B65</f>
        <v>0</v>
      </c>
      <c r="Z13" s="403">
        <f>'Calcul FLASH''MECA'!C65</f>
        <v>0</v>
      </c>
      <c r="AA13" s="404">
        <f t="shared" ref="AA13:AA22" si="0">($C$73*Z13)/VLOOKUP(Y13,$A$27:$C$73,3)</f>
        <v>0</v>
      </c>
      <c r="AB13" s="405">
        <f>'Calcul FLASH''MECA'!E65</f>
        <v>0</v>
      </c>
      <c r="AC13" s="406">
        <f>'Calcul FLASH''MECA'!H65</f>
        <v>0</v>
      </c>
      <c r="AD13" s="401" t="s">
        <v>209</v>
      </c>
    </row>
    <row r="14" spans="1:38" hidden="1" x14ac:dyDescent="0.3">
      <c r="A14" s="344"/>
      <c r="B14" s="345" t="s">
        <v>210</v>
      </c>
      <c r="C14" s="346">
        <v>110.38246300114695</v>
      </c>
      <c r="D14" s="347">
        <v>160.44718246621093</v>
      </c>
      <c r="E14" s="348">
        <v>204.81620296753405</v>
      </c>
      <c r="F14" s="353" t="s">
        <v>209</v>
      </c>
      <c r="G14" s="350">
        <v>19.702142517904765</v>
      </c>
      <c r="H14" s="351">
        <v>26.634974415072108</v>
      </c>
      <c r="I14" s="351">
        <v>32.779080761104773</v>
      </c>
      <c r="J14" s="354" t="s">
        <v>209</v>
      </c>
      <c r="K14" s="353">
        <v>19.702142517904765</v>
      </c>
      <c r="L14" s="353">
        <v>28.230475851238097</v>
      </c>
      <c r="M14" s="353">
        <v>34.650074451238098</v>
      </c>
      <c r="N14" s="353">
        <v>44.400074451238098</v>
      </c>
      <c r="O14" s="353">
        <v>26.634974415072108</v>
      </c>
      <c r="P14" s="353">
        <v>35.163307748405444</v>
      </c>
      <c r="Q14" s="353">
        <v>41.582906348405444</v>
      </c>
      <c r="R14" s="354">
        <v>51.332906348405444</v>
      </c>
      <c r="S14" s="353">
        <v>32.779080761104773</v>
      </c>
      <c r="T14" s="353">
        <v>41.307414094438101</v>
      </c>
      <c r="U14" s="353">
        <v>47.727012694438102</v>
      </c>
      <c r="V14" s="354">
        <v>57.477012694438102</v>
      </c>
      <c r="W14" s="356" t="s">
        <v>209</v>
      </c>
      <c r="Y14" s="407">
        <f>'Calcul FLASH''MECA'!B66</f>
        <v>0</v>
      </c>
      <c r="Z14" s="408">
        <f>'Calcul FLASH''MECA'!C66</f>
        <v>0</v>
      </c>
      <c r="AA14" s="409">
        <f t="shared" si="0"/>
        <v>0</v>
      </c>
      <c r="AB14" s="410">
        <f>'Calcul FLASH''MECA'!E66</f>
        <v>0</v>
      </c>
      <c r="AC14" s="411">
        <f>'Calcul FLASH''MECA'!H66</f>
        <v>0</v>
      </c>
      <c r="AD14" s="401" t="s">
        <v>209</v>
      </c>
    </row>
    <row r="15" spans="1:38" hidden="1" x14ac:dyDescent="0.3">
      <c r="A15" s="344" t="s">
        <v>185</v>
      </c>
      <c r="B15" s="345"/>
      <c r="C15" s="346">
        <v>77.064257943212965</v>
      </c>
      <c r="D15" s="347">
        <v>117.85812959879897</v>
      </c>
      <c r="E15" s="348">
        <v>151.69773335945723</v>
      </c>
      <c r="F15" s="353" t="s">
        <v>209</v>
      </c>
      <c r="G15" s="350">
        <v>9.4458813286894987</v>
      </c>
      <c r="H15" s="351">
        <v>13.718192590190736</v>
      </c>
      <c r="I15" s="351">
        <v>17.262188645578707</v>
      </c>
      <c r="J15" s="354" t="s">
        <v>209</v>
      </c>
      <c r="K15" s="353">
        <v>9.4458813286894987</v>
      </c>
      <c r="L15" s="353">
        <v>12.892345975154145</v>
      </c>
      <c r="M15" s="353">
        <v>15.452831001128171</v>
      </c>
      <c r="N15" s="353">
        <v>19.199584247881418</v>
      </c>
      <c r="O15" s="353">
        <v>13.718192590190736</v>
      </c>
      <c r="P15" s="353">
        <v>17.164657236655383</v>
      </c>
      <c r="Q15" s="353">
        <v>19.725142262629408</v>
      </c>
      <c r="R15" s="354">
        <v>23.471895509382655</v>
      </c>
      <c r="S15" s="353">
        <v>17.262188645578707</v>
      </c>
      <c r="T15" s="353">
        <v>20.708653292043355</v>
      </c>
      <c r="U15" s="353">
        <v>23.269138318017379</v>
      </c>
      <c r="V15" s="354">
        <v>27.015891564770627</v>
      </c>
      <c r="W15" s="356" t="s">
        <v>209</v>
      </c>
      <c r="Y15" s="407">
        <f>'Calcul FLASH''MECA'!B67</f>
        <v>0</v>
      </c>
      <c r="Z15" s="408">
        <f>'Calcul FLASH''MECA'!C67</f>
        <v>0</v>
      </c>
      <c r="AA15" s="409">
        <f t="shared" si="0"/>
        <v>0</v>
      </c>
      <c r="AB15" s="410">
        <f>'Calcul FLASH''MECA'!E67</f>
        <v>0</v>
      </c>
      <c r="AC15" s="411">
        <f>'Calcul FLASH''MECA'!H67</f>
        <v>0</v>
      </c>
      <c r="AD15" s="401" t="s">
        <v>209</v>
      </c>
    </row>
    <row r="16" spans="1:38" hidden="1" x14ac:dyDescent="0.3">
      <c r="A16" s="344" t="s">
        <v>186</v>
      </c>
      <c r="B16" s="345"/>
      <c r="C16" s="346">
        <v>63.045319275414464</v>
      </c>
      <c r="D16" s="347">
        <v>96.894020295195602</v>
      </c>
      <c r="E16" s="348">
        <v>127.61320533339624</v>
      </c>
      <c r="F16" s="353" t="s">
        <v>209</v>
      </c>
      <c r="G16" s="350">
        <v>8.436021840061807</v>
      </c>
      <c r="H16" s="351">
        <v>11.980970644503056</v>
      </c>
      <c r="I16" s="351">
        <v>15.198167612000834</v>
      </c>
      <c r="J16" s="354" t="s">
        <v>209</v>
      </c>
      <c r="K16" s="353">
        <v>8.436021840061807</v>
      </c>
      <c r="L16" s="353">
        <v>12.972847236887205</v>
      </c>
      <c r="M16" s="353">
        <v>16.294685195617362</v>
      </c>
      <c r="N16" s="353">
        <v>22.118494719426884</v>
      </c>
      <c r="O16" s="353">
        <v>11.980970644503056</v>
      </c>
      <c r="P16" s="353">
        <v>16.517796041328452</v>
      </c>
      <c r="Q16" s="353">
        <v>19.839634000058609</v>
      </c>
      <c r="R16" s="354">
        <v>25.663443523868132</v>
      </c>
      <c r="S16" s="353">
        <v>15.198167612000834</v>
      </c>
      <c r="T16" s="353">
        <v>19.73499300882623</v>
      </c>
      <c r="U16" s="353">
        <v>23.056830967556387</v>
      </c>
      <c r="V16" s="354">
        <v>28.880640491365909</v>
      </c>
      <c r="W16" s="356" t="s">
        <v>209</v>
      </c>
      <c r="Y16" s="407">
        <f>'Calcul FLASH''MECA'!B68</f>
        <v>0</v>
      </c>
      <c r="Z16" s="408">
        <f>'Calcul FLASH''MECA'!C68</f>
        <v>0</v>
      </c>
      <c r="AA16" s="409">
        <f t="shared" si="0"/>
        <v>0</v>
      </c>
      <c r="AB16" s="410">
        <f>'Calcul FLASH''MECA'!E68</f>
        <v>0</v>
      </c>
      <c r="AC16" s="411">
        <f>'Calcul FLASH''MECA'!H68</f>
        <v>0</v>
      </c>
      <c r="AD16" s="401" t="s">
        <v>209</v>
      </c>
    </row>
    <row r="17" spans="1:30" hidden="1" x14ac:dyDescent="0.3">
      <c r="A17" s="344" t="s">
        <v>187</v>
      </c>
      <c r="B17" s="345" t="s">
        <v>211</v>
      </c>
      <c r="C17" s="346">
        <v>13.519103415521105</v>
      </c>
      <c r="D17" s="347">
        <v>20.299832082280261</v>
      </c>
      <c r="E17" s="348">
        <v>27.829995557534826</v>
      </c>
      <c r="F17" s="353" t="s">
        <v>212</v>
      </c>
      <c r="G17" s="350">
        <v>2.2658454548067328</v>
      </c>
      <c r="H17" s="351">
        <v>2.9759860290763624</v>
      </c>
      <c r="I17" s="351">
        <v>3.7646143428556966</v>
      </c>
      <c r="J17" s="354" t="s">
        <v>212</v>
      </c>
      <c r="K17" s="353">
        <v>2.9108454548067328</v>
      </c>
      <c r="L17" s="353">
        <v>3.4302561690924471</v>
      </c>
      <c r="M17" s="353">
        <v>3.800241954092447</v>
      </c>
      <c r="N17" s="353">
        <v>4.3113133826638759</v>
      </c>
      <c r="O17" s="353">
        <v>3.6209860290763625</v>
      </c>
      <c r="P17" s="353">
        <v>4.1403967433620767</v>
      </c>
      <c r="Q17" s="353">
        <v>4.5103825283620766</v>
      </c>
      <c r="R17" s="354">
        <v>5.021453956933505</v>
      </c>
      <c r="S17" s="353">
        <v>4.4096143428556971</v>
      </c>
      <c r="T17" s="353">
        <v>4.9290250571414109</v>
      </c>
      <c r="U17" s="353">
        <v>5.2990108421414108</v>
      </c>
      <c r="V17" s="354">
        <v>5.8100822707128392</v>
      </c>
      <c r="W17" s="356" t="s">
        <v>212</v>
      </c>
      <c r="Y17" s="407">
        <f>'Calcul FLASH''MECA'!B69</f>
        <v>0</v>
      </c>
      <c r="Z17" s="408">
        <f>'Calcul FLASH''MECA'!C69</f>
        <v>0</v>
      </c>
      <c r="AA17" s="409">
        <f t="shared" si="0"/>
        <v>0</v>
      </c>
      <c r="AB17" s="410">
        <f>'Calcul FLASH''MECA'!E69</f>
        <v>0</v>
      </c>
      <c r="AC17" s="411">
        <f>'Calcul FLASH''MECA'!H69</f>
        <v>0</v>
      </c>
      <c r="AD17" s="401" t="s">
        <v>212</v>
      </c>
    </row>
    <row r="18" spans="1:30" hidden="1" x14ac:dyDescent="0.3">
      <c r="A18" s="344"/>
      <c r="B18" s="345" t="s">
        <v>213</v>
      </c>
      <c r="C18" s="346">
        <v>16.866649931598943</v>
      </c>
      <c r="D18" s="347">
        <v>25.365389024403527</v>
      </c>
      <c r="E18" s="348">
        <v>35.574755656869662</v>
      </c>
      <c r="F18" s="353" t="s">
        <v>212</v>
      </c>
      <c r="G18" s="350">
        <v>3.1356497328571429</v>
      </c>
      <c r="H18" s="351">
        <v>4.3125329771428573</v>
      </c>
      <c r="I18" s="351">
        <v>5.7262994657142858</v>
      </c>
      <c r="J18" s="354" t="s">
        <v>212</v>
      </c>
      <c r="K18" s="353">
        <v>4.6156497328571433</v>
      </c>
      <c r="L18" s="353">
        <v>5.2438163995238103</v>
      </c>
      <c r="M18" s="353">
        <v>5.7533625495238105</v>
      </c>
      <c r="N18" s="353">
        <v>6.3233625495238108</v>
      </c>
      <c r="O18" s="353">
        <v>5.7925329771428569</v>
      </c>
      <c r="P18" s="353">
        <v>6.4206996438095238</v>
      </c>
      <c r="Q18" s="353">
        <v>6.9302457938095241</v>
      </c>
      <c r="R18" s="354">
        <v>7.5002457938095244</v>
      </c>
      <c r="S18" s="353">
        <v>7.2062994657142863</v>
      </c>
      <c r="T18" s="353">
        <v>7.8344661323809532</v>
      </c>
      <c r="U18" s="353">
        <v>8.3440122823809535</v>
      </c>
      <c r="V18" s="354">
        <v>8.9140122823809538</v>
      </c>
      <c r="W18" s="356" t="s">
        <v>212</v>
      </c>
      <c r="Y18" s="407">
        <f>'Calcul FLASH''MECA'!B70</f>
        <v>0</v>
      </c>
      <c r="Z18" s="408">
        <f>'Calcul FLASH''MECA'!C70</f>
        <v>0</v>
      </c>
      <c r="AA18" s="409">
        <f t="shared" si="0"/>
        <v>0</v>
      </c>
      <c r="AB18" s="410">
        <f>'Calcul FLASH''MECA'!E70</f>
        <v>0</v>
      </c>
      <c r="AC18" s="411">
        <f>'Calcul FLASH''MECA'!H70</f>
        <v>0</v>
      </c>
      <c r="AD18" s="401" t="s">
        <v>212</v>
      </c>
    </row>
    <row r="19" spans="1:30" hidden="1" x14ac:dyDescent="0.3">
      <c r="A19" s="344" t="s">
        <v>188</v>
      </c>
      <c r="B19" s="345"/>
      <c r="C19" s="346">
        <v>17.354313629075463</v>
      </c>
      <c r="D19" s="347">
        <v>32.551595815641789</v>
      </c>
      <c r="E19" s="348">
        <v>41.571581162705705</v>
      </c>
      <c r="F19" s="353"/>
      <c r="G19" s="350">
        <v>3.3131801309714284</v>
      </c>
      <c r="H19" s="351">
        <v>5.4176601683918371</v>
      </c>
      <c r="I19" s="351">
        <v>6.6667242357485721</v>
      </c>
      <c r="J19" s="354" t="s">
        <v>212</v>
      </c>
      <c r="K19" s="353">
        <v>7.6731801309714278</v>
      </c>
      <c r="L19" s="353">
        <v>8.2181801309714277</v>
      </c>
      <c r="M19" s="353">
        <v>8.6905793309714277</v>
      </c>
      <c r="N19" s="353">
        <v>9.1405793309714269</v>
      </c>
      <c r="O19" s="353">
        <v>9.7776601683918365</v>
      </c>
      <c r="P19" s="353">
        <v>10.322660168391836</v>
      </c>
      <c r="Q19" s="353">
        <v>10.795059368391836</v>
      </c>
      <c r="R19" s="354">
        <v>11.245059368391836</v>
      </c>
      <c r="S19" s="353">
        <v>11.026724235748571</v>
      </c>
      <c r="T19" s="353">
        <v>11.571724235748571</v>
      </c>
      <c r="U19" s="353">
        <v>12.04412343574857</v>
      </c>
      <c r="V19" s="354">
        <v>12.49412343574857</v>
      </c>
      <c r="W19" s="356" t="s">
        <v>212</v>
      </c>
      <c r="Y19" s="407">
        <f>'Calcul FLASH''MECA'!B71</f>
        <v>0</v>
      </c>
      <c r="Z19" s="408">
        <f>'Calcul FLASH''MECA'!C71</f>
        <v>0</v>
      </c>
      <c r="AA19" s="409">
        <f t="shared" si="0"/>
        <v>0</v>
      </c>
      <c r="AB19" s="410">
        <f>'Calcul FLASH''MECA'!E71</f>
        <v>0</v>
      </c>
      <c r="AC19" s="411">
        <f>'Calcul FLASH''MECA'!H71</f>
        <v>0</v>
      </c>
      <c r="AD19" s="401" t="s">
        <v>212</v>
      </c>
    </row>
    <row r="20" spans="1:30" hidden="1" x14ac:dyDescent="0.3">
      <c r="A20" s="344" t="s">
        <v>189</v>
      </c>
      <c r="B20" s="345"/>
      <c r="C20" s="346">
        <v>7.9242501646788952</v>
      </c>
      <c r="D20" s="347">
        <v>12.990354196735552</v>
      </c>
      <c r="E20" s="348">
        <v>16.572134498724282</v>
      </c>
      <c r="F20" s="353" t="s">
        <v>212</v>
      </c>
      <c r="G20" s="350">
        <v>1.3460053722216982</v>
      </c>
      <c r="H20" s="351">
        <v>1.9840466928709219</v>
      </c>
      <c r="I20" s="351">
        <v>2.4351475426946676</v>
      </c>
      <c r="J20" s="354" t="s">
        <v>212</v>
      </c>
      <c r="K20" s="353">
        <v>5.2560053722216988</v>
      </c>
      <c r="L20" s="353">
        <v>6.7993387055550318</v>
      </c>
      <c r="M20" s="353">
        <v>7.9305259055550321</v>
      </c>
      <c r="N20" s="353">
        <v>9.7305259055550319</v>
      </c>
      <c r="O20" s="353">
        <v>5.8940466928709219</v>
      </c>
      <c r="P20" s="353">
        <v>7.4373800262042549</v>
      </c>
      <c r="Q20" s="353">
        <v>8.5685672262042551</v>
      </c>
      <c r="R20" s="354">
        <v>10.368567226204256</v>
      </c>
      <c r="S20" s="353">
        <v>6.3451475426946677</v>
      </c>
      <c r="T20" s="353">
        <v>7.8884808760280007</v>
      </c>
      <c r="U20" s="353">
        <v>9.019668076028001</v>
      </c>
      <c r="V20" s="354">
        <v>10.819668076028002</v>
      </c>
      <c r="W20" s="356" t="s">
        <v>212</v>
      </c>
      <c r="Y20" s="407">
        <f>'Calcul FLASH''MECA'!B72</f>
        <v>0</v>
      </c>
      <c r="Z20" s="408">
        <f>'Calcul FLASH''MECA'!C72</f>
        <v>0</v>
      </c>
      <c r="AA20" s="409">
        <f t="shared" si="0"/>
        <v>0</v>
      </c>
      <c r="AB20" s="410">
        <f>'Calcul FLASH''MECA'!E72</f>
        <v>0</v>
      </c>
      <c r="AC20" s="411">
        <f>'Calcul FLASH''MECA'!H72</f>
        <v>0</v>
      </c>
      <c r="AD20" s="401" t="s">
        <v>212</v>
      </c>
    </row>
    <row r="21" spans="1:30" hidden="1" x14ac:dyDescent="0.3">
      <c r="A21" s="344" t="s">
        <v>214</v>
      </c>
      <c r="B21" s="345" t="s">
        <v>190</v>
      </c>
      <c r="C21" s="346">
        <v>405.09444771875548</v>
      </c>
      <c r="D21" s="347">
        <v>583.26812977221607</v>
      </c>
      <c r="E21" s="348">
        <v>705.91188684844292</v>
      </c>
      <c r="F21" s="353" t="s">
        <v>209</v>
      </c>
      <c r="G21" s="350">
        <v>46.875234495325856</v>
      </c>
      <c r="H21" s="351">
        <v>65.535229181951919</v>
      </c>
      <c r="I21" s="351">
        <v>78.379616910907203</v>
      </c>
      <c r="J21" s="354" t="s">
        <v>209</v>
      </c>
      <c r="K21" s="353">
        <v>46.875234495325856</v>
      </c>
      <c r="L21" s="353">
        <v>64.124044019135383</v>
      </c>
      <c r="M21" s="353">
        <v>77.345561769135386</v>
      </c>
      <c r="N21" s="353">
        <v>91.76699034056395</v>
      </c>
      <c r="O21" s="353">
        <v>65.535229181951919</v>
      </c>
      <c r="P21" s="353">
        <v>82.784038705761446</v>
      </c>
      <c r="Q21" s="353">
        <v>96.00555645576145</v>
      </c>
      <c r="R21" s="354">
        <v>110.42698502719003</v>
      </c>
      <c r="S21" s="353">
        <v>78.379616910907203</v>
      </c>
      <c r="T21" s="353">
        <v>95.628426434716729</v>
      </c>
      <c r="U21" s="353">
        <v>108.84994418471673</v>
      </c>
      <c r="V21" s="354">
        <v>123.2713727561453</v>
      </c>
      <c r="W21" s="356" t="s">
        <v>209</v>
      </c>
      <c r="Y21" s="407">
        <f>'Calcul FLASH''MECA'!B73</f>
        <v>0</v>
      </c>
      <c r="Z21" s="408">
        <f>'Calcul FLASH''MECA'!C73</f>
        <v>0</v>
      </c>
      <c r="AA21" s="409">
        <f t="shared" si="0"/>
        <v>0</v>
      </c>
      <c r="AB21" s="410">
        <f>'Calcul FLASH''MECA'!E73</f>
        <v>0</v>
      </c>
      <c r="AC21" s="411">
        <f>'Calcul FLASH''MECA'!H73</f>
        <v>0</v>
      </c>
      <c r="AD21" s="401" t="s">
        <v>209</v>
      </c>
    </row>
    <row r="22" spans="1:30" hidden="1" x14ac:dyDescent="0.3">
      <c r="A22" s="357"/>
      <c r="B22" s="358" t="s">
        <v>191</v>
      </c>
      <c r="C22" s="359">
        <v>580.371458311899</v>
      </c>
      <c r="D22" s="360">
        <v>686.82235185904187</v>
      </c>
      <c r="E22" s="361">
        <v>813.17869970501238</v>
      </c>
      <c r="F22" s="362" t="s">
        <v>209</v>
      </c>
      <c r="G22" s="363">
        <v>104.54761368416492</v>
      </c>
      <c r="H22" s="364">
        <v>118.69953542847813</v>
      </c>
      <c r="I22" s="364">
        <v>135.49775183632329</v>
      </c>
      <c r="J22" s="365" t="s">
        <v>209</v>
      </c>
      <c r="K22" s="362">
        <v>104.54761368416492</v>
      </c>
      <c r="L22" s="362">
        <v>104.54761368416492</v>
      </c>
      <c r="M22" s="362">
        <v>135.89697642926296</v>
      </c>
      <c r="N22" s="362">
        <v>144.15916130321256</v>
      </c>
      <c r="O22" s="362">
        <v>118.69953542847813</v>
      </c>
      <c r="P22" s="362">
        <v>118.69953542847813</v>
      </c>
      <c r="Q22" s="362">
        <v>150.04889817357616</v>
      </c>
      <c r="R22" s="365">
        <v>158.31108304752576</v>
      </c>
      <c r="S22" s="362">
        <v>135.49775183632329</v>
      </c>
      <c r="T22" s="362">
        <v>135.49775183632329</v>
      </c>
      <c r="U22" s="362">
        <v>166.84711458142132</v>
      </c>
      <c r="V22" s="365">
        <v>175.10929945537092</v>
      </c>
      <c r="W22" s="366" t="s">
        <v>209</v>
      </c>
      <c r="Y22" s="412">
        <f>'Calcul FLASH''MECA'!B74</f>
        <v>0</v>
      </c>
      <c r="Z22" s="413">
        <f>'Calcul FLASH''MECA'!C74</f>
        <v>0</v>
      </c>
      <c r="AA22" s="414">
        <f t="shared" si="0"/>
        <v>0</v>
      </c>
      <c r="AB22" s="415">
        <f>'Calcul FLASH''MECA'!E74</f>
        <v>0</v>
      </c>
      <c r="AC22" s="416">
        <f>'Calcul FLASH''MECA'!H74</f>
        <v>0</v>
      </c>
      <c r="AD22" s="401" t="s">
        <v>209</v>
      </c>
    </row>
    <row r="23" spans="1:30" hidden="1" x14ac:dyDescent="0.3">
      <c r="C23" s="367"/>
      <c r="D23" s="367"/>
      <c r="E23" s="367"/>
      <c r="F23" s="367"/>
      <c r="G23" s="367"/>
      <c r="H23" s="367"/>
      <c r="I23" s="367"/>
      <c r="J23" s="367"/>
      <c r="K23" s="367"/>
      <c r="L23" s="367"/>
      <c r="M23" s="367"/>
      <c r="N23" s="367"/>
      <c r="O23" s="367"/>
      <c r="P23" s="367"/>
      <c r="Q23" s="367"/>
      <c r="R23" s="367"/>
      <c r="S23" s="367"/>
      <c r="T23" s="367"/>
      <c r="U23" s="367"/>
      <c r="V23" s="367"/>
      <c r="W23" s="367"/>
      <c r="Z23" s="367"/>
      <c r="AA23" s="367"/>
      <c r="AB23" s="391"/>
    </row>
    <row r="24" spans="1:30" hidden="1" x14ac:dyDescent="0.3"/>
    <row r="25" spans="1:30" ht="15" hidden="1" thickBot="1" x14ac:dyDescent="0.35">
      <c r="H25" t="s">
        <v>366</v>
      </c>
    </row>
    <row r="26" spans="1:30" ht="15.6" hidden="1" x14ac:dyDescent="0.3">
      <c r="A26" s="368" t="s">
        <v>365</v>
      </c>
      <c r="B26" s="785" t="s">
        <v>221</v>
      </c>
      <c r="C26" s="785"/>
      <c r="D26" s="785" t="s">
        <v>222</v>
      </c>
      <c r="E26" s="786"/>
      <c r="F26" s="791" t="s">
        <v>291</v>
      </c>
      <c r="G26" s="786"/>
      <c r="H26" s="791" t="s">
        <v>291</v>
      </c>
      <c r="I26" s="786"/>
    </row>
    <row r="27" spans="1:30" hidden="1" x14ac:dyDescent="0.3">
      <c r="A27" s="369" t="s">
        <v>218</v>
      </c>
      <c r="B27" s="382"/>
      <c r="C27" s="370"/>
      <c r="D27" s="370" t="s">
        <v>219</v>
      </c>
      <c r="E27" s="371" t="s">
        <v>220</v>
      </c>
      <c r="F27" s="369" t="s">
        <v>219</v>
      </c>
      <c r="G27" s="371" t="s">
        <v>220</v>
      </c>
      <c r="H27" s="369" t="s">
        <v>219</v>
      </c>
      <c r="I27" s="371" t="s">
        <v>220</v>
      </c>
    </row>
    <row r="28" spans="1:30" hidden="1" x14ac:dyDescent="0.3">
      <c r="A28" s="369">
        <v>0</v>
      </c>
      <c r="B28" s="382"/>
      <c r="C28" s="370">
        <v>1</v>
      </c>
      <c r="D28" s="370"/>
      <c r="E28" s="371"/>
      <c r="F28" s="369"/>
      <c r="G28" s="371"/>
      <c r="H28" s="370"/>
      <c r="I28" s="371"/>
    </row>
    <row r="29" spans="1:30" hidden="1" x14ac:dyDescent="0.3">
      <c r="A29" s="369">
        <v>1980</v>
      </c>
      <c r="B29" s="386"/>
      <c r="C29" s="382">
        <v>35.799999999999997</v>
      </c>
      <c r="D29" s="372"/>
      <c r="E29" s="373"/>
      <c r="F29" s="460"/>
      <c r="G29" s="373"/>
      <c r="H29" s="372"/>
      <c r="I29" s="373"/>
    </row>
    <row r="30" spans="1:30" hidden="1" x14ac:dyDescent="0.3">
      <c r="A30" s="369">
        <v>1981</v>
      </c>
      <c r="B30" s="386">
        <f t="shared" ref="B30:B52" si="1">(C30-C29)/C29</f>
        <v>0.13407821229050293</v>
      </c>
      <c r="C30" s="382">
        <v>40.6</v>
      </c>
      <c r="D30" s="372"/>
      <c r="E30" s="373"/>
      <c r="F30" s="460"/>
      <c r="G30" s="373"/>
      <c r="H30" s="372"/>
      <c r="I30" s="373"/>
    </row>
    <row r="31" spans="1:30" hidden="1" x14ac:dyDescent="0.3">
      <c r="A31" s="369">
        <v>1982</v>
      </c>
      <c r="B31" s="386">
        <f t="shared" si="1"/>
        <v>0.14039408866995062</v>
      </c>
      <c r="C31" s="382">
        <v>46.3</v>
      </c>
      <c r="D31" s="372"/>
      <c r="E31" s="373"/>
      <c r="F31" s="460"/>
      <c r="G31" s="373"/>
      <c r="H31" s="372"/>
      <c r="I31" s="373"/>
    </row>
    <row r="32" spans="1:30" hidden="1" x14ac:dyDescent="0.3">
      <c r="A32" s="369">
        <v>1983</v>
      </c>
      <c r="B32" s="386">
        <f t="shared" si="1"/>
        <v>9.719222462203024E-2</v>
      </c>
      <c r="C32" s="382">
        <v>50.8</v>
      </c>
      <c r="D32" s="372"/>
      <c r="E32" s="373"/>
      <c r="F32" s="460"/>
      <c r="G32" s="373"/>
      <c r="H32" s="372"/>
      <c r="I32" s="373"/>
    </row>
    <row r="33" spans="1:9" hidden="1" x14ac:dyDescent="0.3">
      <c r="A33" s="369">
        <v>1984</v>
      </c>
      <c r="B33" s="386">
        <f t="shared" si="1"/>
        <v>7.0866141732283491E-2</v>
      </c>
      <c r="C33" s="382">
        <v>54.4</v>
      </c>
      <c r="D33" s="372"/>
      <c r="E33" s="373"/>
      <c r="F33" s="460"/>
      <c r="G33" s="373"/>
      <c r="H33" s="372"/>
      <c r="I33" s="373"/>
    </row>
    <row r="34" spans="1:9" hidden="1" x14ac:dyDescent="0.3">
      <c r="A34" s="369">
        <v>1985</v>
      </c>
      <c r="B34" s="386">
        <f t="shared" si="1"/>
        <v>5.3308823529411742E-2</v>
      </c>
      <c r="C34" s="382">
        <v>57.3</v>
      </c>
      <c r="D34" s="372"/>
      <c r="E34" s="373"/>
      <c r="F34" s="460"/>
      <c r="G34" s="373"/>
      <c r="H34" s="372"/>
      <c r="I34" s="373"/>
    </row>
    <row r="35" spans="1:9" hidden="1" x14ac:dyDescent="0.3">
      <c r="A35" s="369">
        <v>1986</v>
      </c>
      <c r="B35" s="386">
        <f t="shared" si="1"/>
        <v>5.2356020942408377E-2</v>
      </c>
      <c r="C35" s="382">
        <v>60.3</v>
      </c>
      <c r="D35" s="372"/>
      <c r="E35" s="373"/>
      <c r="F35" s="460"/>
      <c r="G35" s="373"/>
      <c r="H35" s="372"/>
      <c r="I35" s="373"/>
    </row>
    <row r="36" spans="1:9" hidden="1" x14ac:dyDescent="0.3">
      <c r="A36" s="369">
        <v>1987</v>
      </c>
      <c r="B36" s="386">
        <f t="shared" si="1"/>
        <v>5.3067993366500879E-2</v>
      </c>
      <c r="C36" s="382">
        <v>63.5</v>
      </c>
      <c r="D36" s="372"/>
      <c r="E36" s="373"/>
      <c r="F36" s="460"/>
      <c r="G36" s="373"/>
      <c r="H36" s="372"/>
      <c r="I36" s="373"/>
    </row>
    <row r="37" spans="1:9" hidden="1" x14ac:dyDescent="0.3">
      <c r="A37" s="369">
        <v>1988</v>
      </c>
      <c r="B37" s="386">
        <f t="shared" si="1"/>
        <v>4.2519685039370127E-2</v>
      </c>
      <c r="C37" s="382">
        <v>66.2</v>
      </c>
      <c r="D37" s="372"/>
      <c r="E37" s="373"/>
      <c r="F37" s="460"/>
      <c r="G37" s="373"/>
      <c r="H37" s="372"/>
      <c r="I37" s="373"/>
    </row>
    <row r="38" spans="1:9" hidden="1" x14ac:dyDescent="0.3">
      <c r="A38" s="369">
        <v>1989</v>
      </c>
      <c r="B38" s="386">
        <f t="shared" si="1"/>
        <v>4.5317220543806644E-2</v>
      </c>
      <c r="C38" s="382">
        <v>69.2</v>
      </c>
      <c r="D38" s="372"/>
      <c r="E38" s="373"/>
      <c r="F38" s="460"/>
      <c r="G38" s="373"/>
      <c r="H38" s="372"/>
      <c r="I38" s="373"/>
    </row>
    <row r="39" spans="1:9" hidden="1" x14ac:dyDescent="0.3">
      <c r="A39" s="369">
        <v>1990</v>
      </c>
      <c r="B39" s="386">
        <f t="shared" si="1"/>
        <v>4.0462427745664699E-2</v>
      </c>
      <c r="C39" s="382">
        <v>72</v>
      </c>
      <c r="D39" s="372"/>
      <c r="E39" s="373"/>
      <c r="F39" s="460"/>
      <c r="G39" s="373"/>
      <c r="H39" s="372"/>
      <c r="I39" s="373"/>
    </row>
    <row r="40" spans="1:9" hidden="1" x14ac:dyDescent="0.3">
      <c r="A40" s="369">
        <v>1991</v>
      </c>
      <c r="B40" s="386">
        <f t="shared" si="1"/>
        <v>4.0277777777777857E-2</v>
      </c>
      <c r="C40" s="382">
        <v>74.900000000000006</v>
      </c>
      <c r="D40" s="372"/>
      <c r="E40" s="373"/>
      <c r="F40" s="460"/>
      <c r="G40" s="373"/>
      <c r="H40" s="372"/>
      <c r="I40" s="373"/>
    </row>
    <row r="41" spans="1:9" hidden="1" x14ac:dyDescent="0.3">
      <c r="A41" s="369">
        <v>1992</v>
      </c>
      <c r="B41" s="386">
        <f t="shared" si="1"/>
        <v>2.4032042723631467E-2</v>
      </c>
      <c r="C41" s="382">
        <v>76.7</v>
      </c>
      <c r="D41" s="372"/>
      <c r="E41" s="373"/>
      <c r="F41" s="460"/>
      <c r="G41" s="373"/>
      <c r="H41" s="372"/>
      <c r="I41" s="373"/>
    </row>
    <row r="42" spans="1:9" hidden="1" x14ac:dyDescent="0.3">
      <c r="A42" s="369">
        <v>1993</v>
      </c>
      <c r="B42" s="386">
        <f t="shared" si="1"/>
        <v>1.955671447196871E-2</v>
      </c>
      <c r="C42" s="382">
        <v>78.2</v>
      </c>
      <c r="D42" s="372"/>
      <c r="E42" s="373"/>
      <c r="F42" s="460"/>
      <c r="G42" s="373"/>
      <c r="H42" s="372"/>
      <c r="I42" s="373"/>
    </row>
    <row r="43" spans="1:9" hidden="1" x14ac:dyDescent="0.3">
      <c r="A43" s="369">
        <v>1994</v>
      </c>
      <c r="B43" s="386">
        <f t="shared" si="1"/>
        <v>2.1739130434782643E-2</v>
      </c>
      <c r="C43" s="382">
        <v>79.900000000000006</v>
      </c>
      <c r="D43" s="372"/>
      <c r="E43" s="373"/>
      <c r="F43" s="460"/>
      <c r="G43" s="373"/>
      <c r="H43" s="372"/>
      <c r="I43" s="373"/>
    </row>
    <row r="44" spans="1:9" hidden="1" x14ac:dyDescent="0.3">
      <c r="A44" s="369">
        <v>1995</v>
      </c>
      <c r="B44" s="386">
        <f t="shared" si="1"/>
        <v>2.2528160200250277E-2</v>
      </c>
      <c r="C44" s="382">
        <v>81.7</v>
      </c>
      <c r="D44" s="372"/>
      <c r="E44" s="373"/>
      <c r="F44" s="460"/>
      <c r="G44" s="373"/>
      <c r="H44" s="372"/>
      <c r="I44" s="373"/>
    </row>
    <row r="45" spans="1:9" hidden="1" x14ac:dyDescent="0.3">
      <c r="A45" s="369">
        <v>1996</v>
      </c>
      <c r="B45" s="386">
        <f t="shared" si="1"/>
        <v>2.203182374541E-2</v>
      </c>
      <c r="C45" s="382">
        <v>83.5</v>
      </c>
      <c r="D45" s="372"/>
      <c r="E45" s="373"/>
      <c r="F45" s="460"/>
      <c r="G45" s="373"/>
      <c r="H45" s="372"/>
      <c r="I45" s="373"/>
    </row>
    <row r="46" spans="1:9" hidden="1" x14ac:dyDescent="0.3">
      <c r="A46" s="369">
        <v>1997</v>
      </c>
      <c r="B46" s="386">
        <f t="shared" si="1"/>
        <v>1.1976047904191617E-2</v>
      </c>
      <c r="C46" s="382">
        <v>84.5</v>
      </c>
      <c r="D46" s="372"/>
      <c r="E46" s="373"/>
      <c r="F46" s="460"/>
      <c r="G46" s="373"/>
      <c r="H46" s="372"/>
      <c r="I46" s="373"/>
    </row>
    <row r="47" spans="1:9" hidden="1" x14ac:dyDescent="0.3">
      <c r="A47" s="369">
        <v>1998</v>
      </c>
      <c r="B47" s="386">
        <f t="shared" si="1"/>
        <v>1.0650887573964565E-2</v>
      </c>
      <c r="C47" s="382">
        <v>85.4</v>
      </c>
      <c r="D47" s="372"/>
      <c r="E47" s="373"/>
      <c r="F47" s="460"/>
      <c r="G47" s="373"/>
      <c r="H47" s="372"/>
      <c r="I47" s="373"/>
    </row>
    <row r="48" spans="1:9" hidden="1" x14ac:dyDescent="0.3">
      <c r="A48" s="369">
        <v>1999</v>
      </c>
      <c r="B48" s="386">
        <f t="shared" si="1"/>
        <v>9.3676814988290051E-3</v>
      </c>
      <c r="C48" s="382">
        <v>86.2</v>
      </c>
      <c r="D48" s="372"/>
      <c r="E48" s="373"/>
      <c r="F48" s="460"/>
      <c r="G48" s="373"/>
      <c r="H48" s="372"/>
      <c r="I48" s="373"/>
    </row>
    <row r="49" spans="1:27" hidden="1" x14ac:dyDescent="0.3">
      <c r="A49" s="369">
        <v>2000</v>
      </c>
      <c r="B49" s="386">
        <f t="shared" si="1"/>
        <v>9.2807424593967184E-3</v>
      </c>
      <c r="C49" s="382">
        <v>87</v>
      </c>
      <c r="D49" s="372"/>
      <c r="E49" s="373"/>
      <c r="F49" s="460"/>
      <c r="G49" s="373"/>
      <c r="H49" s="372"/>
      <c r="I49" s="373"/>
    </row>
    <row r="50" spans="1:27" hidden="1" x14ac:dyDescent="0.3">
      <c r="A50" s="369">
        <v>2001</v>
      </c>
      <c r="B50" s="386">
        <f t="shared" si="1"/>
        <v>1.6091954022988571E-2</v>
      </c>
      <c r="C50" s="382">
        <v>88.4</v>
      </c>
      <c r="D50" s="372"/>
      <c r="E50" s="373"/>
      <c r="F50" s="460"/>
      <c r="G50" s="373"/>
      <c r="H50" s="372"/>
      <c r="I50" s="373"/>
    </row>
    <row r="51" spans="1:27" hidden="1" x14ac:dyDescent="0.3">
      <c r="A51" s="369">
        <v>2002</v>
      </c>
      <c r="B51" s="386">
        <f t="shared" si="1"/>
        <v>2.1493212669683161E-2</v>
      </c>
      <c r="C51" s="382">
        <v>90.3</v>
      </c>
      <c r="D51" s="372"/>
      <c r="E51" s="373"/>
      <c r="F51" s="460"/>
      <c r="G51" s="373"/>
      <c r="H51" s="372"/>
      <c r="I51" s="373"/>
      <c r="AA51">
        <v>1.0975093055</v>
      </c>
    </row>
    <row r="52" spans="1:27" hidden="1" x14ac:dyDescent="0.3">
      <c r="A52" s="374">
        <v>2003</v>
      </c>
      <c r="B52" s="386">
        <f t="shared" si="1"/>
        <v>2.1040974529346685E-2</v>
      </c>
      <c r="C52" s="383">
        <v>92.2</v>
      </c>
      <c r="D52" s="372"/>
      <c r="E52" s="373"/>
      <c r="F52" s="460"/>
      <c r="G52" s="373"/>
      <c r="H52" s="372"/>
      <c r="I52" s="373"/>
      <c r="Z52" s="380"/>
      <c r="AA52">
        <v>9.2592777381999998</v>
      </c>
    </row>
    <row r="53" spans="1:27" ht="15" hidden="1" thickBot="1" x14ac:dyDescent="0.35">
      <c r="A53" s="374">
        <v>2004</v>
      </c>
      <c r="B53" s="386">
        <f t="shared" ref="B53" si="2">(C53-C52)/C52</f>
        <v>5.0976138828633437E-2</v>
      </c>
      <c r="C53" s="383">
        <v>96.9</v>
      </c>
      <c r="D53" s="372"/>
      <c r="E53" s="373"/>
      <c r="F53" s="460"/>
      <c r="G53" s="373"/>
      <c r="H53" s="372"/>
      <c r="I53" s="373"/>
      <c r="Z53" s="380"/>
    </row>
    <row r="54" spans="1:27" hidden="1" x14ac:dyDescent="0.3">
      <c r="A54" s="384">
        <v>2005</v>
      </c>
      <c r="B54" s="387">
        <f>(C54-C53)/C53</f>
        <v>3.1991744066047413E-2</v>
      </c>
      <c r="C54" s="481">
        <v>100</v>
      </c>
      <c r="D54" s="372"/>
      <c r="E54" s="381">
        <v>87.391020163202199</v>
      </c>
      <c r="F54" s="460"/>
      <c r="G54" s="476">
        <v>82.2</v>
      </c>
      <c r="H54" s="577"/>
      <c r="I54" s="476">
        <v>82.224999999999994</v>
      </c>
      <c r="Z54" s="380">
        <v>82</v>
      </c>
      <c r="AA54" s="453">
        <f>Z54*AA$51+AA$52</f>
        <v>99.255040789199995</v>
      </c>
    </row>
    <row r="55" spans="1:27" hidden="1" x14ac:dyDescent="0.3">
      <c r="A55" s="374">
        <v>2006</v>
      </c>
      <c r="B55" s="386">
        <f>(C55-C54)/C54</f>
        <v>1.2999999999999972E-2</v>
      </c>
      <c r="C55" s="477">
        <v>101.3</v>
      </c>
      <c r="D55" s="385">
        <v>1.1699216907255542E-2</v>
      </c>
      <c r="E55" s="381">
        <v>88.560941853927744</v>
      </c>
      <c r="F55" s="461"/>
      <c r="G55" s="477">
        <v>83.2</v>
      </c>
      <c r="H55" s="578"/>
      <c r="I55" s="477">
        <v>83.191666666666649</v>
      </c>
      <c r="Z55" s="380">
        <v>84.3</v>
      </c>
      <c r="AA55" s="453">
        <f t="shared" ref="AA55:AA66" si="3">Z55*AA$51+AA$52</f>
        <v>101.77931219185</v>
      </c>
    </row>
    <row r="56" spans="1:27" hidden="1" x14ac:dyDescent="0.3">
      <c r="A56" s="369">
        <v>2007</v>
      </c>
      <c r="B56" s="386">
        <f>(C56-C55)/C55</f>
        <v>2.5666337611056352E-2</v>
      </c>
      <c r="C56" s="482">
        <v>103.9</v>
      </c>
      <c r="D56" s="385">
        <v>2.4806490720880214E-2</v>
      </c>
      <c r="E56" s="381">
        <v>91.041590926015772</v>
      </c>
      <c r="F56" s="461"/>
      <c r="G56" s="477">
        <v>85.2</v>
      </c>
      <c r="H56" s="578"/>
      <c r="I56" s="477">
        <v>85.233333333333334</v>
      </c>
      <c r="Z56" s="380">
        <v>87.2</v>
      </c>
      <c r="AA56" s="453">
        <f t="shared" si="3"/>
        <v>104.96208917780001</v>
      </c>
    </row>
    <row r="57" spans="1:27" hidden="1" x14ac:dyDescent="0.3">
      <c r="A57" s="374">
        <v>2008</v>
      </c>
      <c r="B57" s="386">
        <f>(C57-C56)/C56</f>
        <v>4.8123195380173241E-2</v>
      </c>
      <c r="C57" s="477">
        <v>108.9</v>
      </c>
      <c r="D57" s="385">
        <v>4.4772044772045029E-2</v>
      </c>
      <c r="E57" s="381">
        <v>95.518795403220267</v>
      </c>
      <c r="F57" s="461"/>
      <c r="G57" s="477">
        <v>89.1</v>
      </c>
      <c r="H57" s="578"/>
      <c r="I57" s="477">
        <v>89.066666666666663</v>
      </c>
      <c r="Z57" s="380">
        <v>92.1</v>
      </c>
      <c r="AA57" s="453">
        <f t="shared" si="3"/>
        <v>110.33988477474999</v>
      </c>
    </row>
    <row r="58" spans="1:27" hidden="1" x14ac:dyDescent="0.3">
      <c r="A58" s="369">
        <v>2009</v>
      </c>
      <c r="B58" s="386">
        <f>(C58-C57)/C57</f>
        <v>3.7649219467401233E-2</v>
      </c>
      <c r="C58" s="482">
        <v>113</v>
      </c>
      <c r="D58" s="385">
        <v>3.6407978399093863E-2</v>
      </c>
      <c r="E58" s="381">
        <v>99.159593243129649</v>
      </c>
      <c r="F58" s="461"/>
      <c r="G58" s="477">
        <v>92.3</v>
      </c>
      <c r="H58" s="578"/>
      <c r="I58" s="477">
        <v>92.316666666666663</v>
      </c>
      <c r="Z58" s="380">
        <v>92.5</v>
      </c>
      <c r="AA58" s="453">
        <f t="shared" si="3"/>
        <v>110.77888849695</v>
      </c>
    </row>
    <row r="59" spans="1:27" hidden="1" x14ac:dyDescent="0.3">
      <c r="A59" s="376">
        <v>2010</v>
      </c>
      <c r="B59" s="464">
        <f t="shared" ref="B59:B60" si="4">(C59-C58)/C58</f>
        <v>5.3097345132742859E-3</v>
      </c>
      <c r="C59" s="484">
        <v>113.6</v>
      </c>
      <c r="D59" s="465">
        <v>8.4040675687034935E-3</v>
      </c>
      <c r="E59" s="466">
        <v>100</v>
      </c>
      <c r="F59" s="462"/>
      <c r="G59" s="478">
        <v>93.1</v>
      </c>
      <c r="H59" s="578"/>
      <c r="I59" s="478">
        <v>93.09999999999998</v>
      </c>
      <c r="Z59" s="380">
        <v>94.4</v>
      </c>
      <c r="AA59" s="453">
        <f t="shared" si="3"/>
        <v>112.86415617740001</v>
      </c>
    </row>
    <row r="60" spans="1:27" hidden="1" x14ac:dyDescent="0.3">
      <c r="A60" s="369">
        <v>2011</v>
      </c>
      <c r="B60" s="386">
        <f t="shared" si="4"/>
        <v>1.7605633802816902E-2</v>
      </c>
      <c r="C60" s="482">
        <v>115.6</v>
      </c>
      <c r="D60" s="385">
        <v>1.6751395949662441E-2</v>
      </c>
      <c r="E60" s="381">
        <v>101.67513959496624</v>
      </c>
      <c r="F60" s="461"/>
      <c r="G60" s="477">
        <v>94.7</v>
      </c>
      <c r="H60" s="578"/>
      <c r="I60" s="477">
        <v>94.675000000000011</v>
      </c>
      <c r="Z60" s="380">
        <v>97.4</v>
      </c>
      <c r="AA60" s="453">
        <f t="shared" si="3"/>
        <v>116.15668409390001</v>
      </c>
    </row>
    <row r="61" spans="1:27" ht="15" hidden="1" thickBot="1" x14ac:dyDescent="0.35">
      <c r="A61" s="369">
        <v>2012</v>
      </c>
      <c r="B61" s="386">
        <f>(C61-C60)/C60</f>
        <v>1.3840830449827065E-2</v>
      </c>
      <c r="C61" s="483">
        <v>117.2</v>
      </c>
      <c r="D61" s="385">
        <v>1.4344262295082059E-2</v>
      </c>
      <c r="E61" s="381">
        <v>103.10956582447443</v>
      </c>
      <c r="F61" s="461"/>
      <c r="G61" s="477">
        <v>96</v>
      </c>
      <c r="H61" s="578"/>
      <c r="I61" s="477">
        <v>96.016666666666666</v>
      </c>
      <c r="Z61" s="380">
        <v>98.5</v>
      </c>
      <c r="AA61" s="453">
        <f t="shared" si="3"/>
        <v>117.36394432995</v>
      </c>
    </row>
    <row r="62" spans="1:27" hidden="1" x14ac:dyDescent="0.3">
      <c r="A62" s="369">
        <v>2013</v>
      </c>
      <c r="B62" s="454">
        <f>(C62-C61)/C61</f>
        <v>2.4496245733788488E-2</v>
      </c>
      <c r="C62" s="455">
        <v>120.07096000000001</v>
      </c>
      <c r="D62" s="385">
        <v>2.3111111111111034E-2</v>
      </c>
      <c r="E62" s="381">
        <v>105.42067693558555</v>
      </c>
      <c r="F62" s="461"/>
      <c r="G62" s="477">
        <v>98.2</v>
      </c>
      <c r="H62" s="578"/>
      <c r="I62" s="477">
        <v>98.191666666666649</v>
      </c>
      <c r="Z62" s="380">
        <v>99.6</v>
      </c>
      <c r="AA62" s="453">
        <f t="shared" si="3"/>
        <v>118.57120456599999</v>
      </c>
    </row>
    <row r="63" spans="1:27" hidden="1" x14ac:dyDescent="0.3">
      <c r="A63" s="369">
        <v>2014</v>
      </c>
      <c r="B63" s="454">
        <f t="shared" ref="B63:B71" si="5">(C63-C62)/C62</f>
        <v>1.0388023881877812E-2</v>
      </c>
      <c r="C63" s="455">
        <v>121.31826000000001</v>
      </c>
      <c r="D63" s="385">
        <v>9.4771758016111204E-3</v>
      </c>
      <c r="E63" s="381">
        <v>106.36839451574667</v>
      </c>
      <c r="F63" s="461"/>
      <c r="G63" s="477">
        <v>99.2</v>
      </c>
      <c r="H63" s="578"/>
      <c r="I63" s="477">
        <v>99.225000000000009</v>
      </c>
      <c r="Z63" s="380">
        <v>99.9</v>
      </c>
      <c r="AA63" s="453">
        <f t="shared" si="3"/>
        <v>118.90045735765001</v>
      </c>
    </row>
    <row r="64" spans="1:27" hidden="1" x14ac:dyDescent="0.3">
      <c r="A64" s="458">
        <v>2015</v>
      </c>
      <c r="B64" s="467">
        <f t="shared" si="5"/>
        <v>8.2249778392798935E-3</v>
      </c>
      <c r="C64" s="468">
        <v>122.31610000000001</v>
      </c>
      <c r="D64" s="469">
        <v>6.5006187678698143E-3</v>
      </c>
      <c r="E64" s="470">
        <v>107.01845639253365</v>
      </c>
      <c r="F64" s="471"/>
      <c r="G64" s="479">
        <v>100</v>
      </c>
      <c r="H64" s="578"/>
      <c r="I64" s="479">
        <v>100</v>
      </c>
      <c r="Z64" s="380">
        <v>100</v>
      </c>
      <c r="AA64" s="453">
        <f t="shared" si="3"/>
        <v>119.0102082882</v>
      </c>
    </row>
    <row r="65" spans="1:27" hidden="1" x14ac:dyDescent="0.3">
      <c r="A65" s="369">
        <v>2016</v>
      </c>
      <c r="B65" s="454">
        <f t="shared" si="5"/>
        <v>9.1776143941804077E-3</v>
      </c>
      <c r="C65" s="455">
        <v>123.43867000000002</v>
      </c>
      <c r="D65" s="370"/>
      <c r="E65" s="375"/>
      <c r="F65" s="369"/>
      <c r="G65" s="477">
        <v>100.9</v>
      </c>
      <c r="H65" s="578"/>
      <c r="I65" s="477">
        <v>100.89166666666665</v>
      </c>
      <c r="Z65" s="380">
        <v>100.4</v>
      </c>
      <c r="AA65" s="453">
        <f t="shared" si="3"/>
        <v>119.4492120104</v>
      </c>
    </row>
    <row r="66" spans="1:27" hidden="1" x14ac:dyDescent="0.3">
      <c r="A66" s="369">
        <v>2017</v>
      </c>
      <c r="B66" s="454">
        <f>(C66-C65)/C65</f>
        <v>1.8188303551877155E-2</v>
      </c>
      <c r="C66" s="455">
        <v>125.68381000000001</v>
      </c>
      <c r="D66" s="370"/>
      <c r="E66" s="375"/>
      <c r="F66" s="369"/>
      <c r="G66" s="477">
        <v>102.7</v>
      </c>
      <c r="H66" s="578"/>
      <c r="I66" s="477">
        <v>102.68333333333332</v>
      </c>
      <c r="Z66" s="380">
        <v>102.7</v>
      </c>
      <c r="AA66" s="453">
        <f t="shared" si="3"/>
        <v>121.97348341305</v>
      </c>
    </row>
    <row r="67" spans="1:27" ht="15" hidden="1" thickBot="1" x14ac:dyDescent="0.35">
      <c r="A67" s="377">
        <v>2018</v>
      </c>
      <c r="B67" s="475">
        <f t="shared" si="5"/>
        <v>3.076474209367119E-2</v>
      </c>
      <c r="C67" s="474">
        <v>129.55043999999998</v>
      </c>
      <c r="D67" s="378"/>
      <c r="E67" s="379"/>
      <c r="F67" s="463"/>
      <c r="G67" s="480">
        <v>105.8</v>
      </c>
      <c r="H67" s="579"/>
      <c r="I67" s="477">
        <v>105.84166666666668</v>
      </c>
    </row>
    <row r="68" spans="1:27" hidden="1" x14ac:dyDescent="0.3">
      <c r="A68" s="587">
        <v>2019</v>
      </c>
      <c r="B68" s="588">
        <f t="shared" si="5"/>
        <v>2.2384891166714823E-2</v>
      </c>
      <c r="C68" s="589">
        <f>AA85</f>
        <v>132.4504125</v>
      </c>
      <c r="D68" s="590"/>
      <c r="E68" s="590"/>
      <c r="F68" s="590"/>
      <c r="G68" s="590"/>
      <c r="H68" s="577"/>
      <c r="I68" s="580">
        <v>108.125</v>
      </c>
      <c r="AA68">
        <f xml:space="preserve"> 1.2473</f>
        <v>1.2473000000000001</v>
      </c>
    </row>
    <row r="69" spans="1:27" hidden="1" x14ac:dyDescent="0.3">
      <c r="A69" s="374">
        <v>2020</v>
      </c>
      <c r="B69" s="586">
        <f t="shared" si="5"/>
        <v>1.5930609754298101E-2</v>
      </c>
      <c r="C69" s="585">
        <f>AA86</f>
        <v>134.56042833333331</v>
      </c>
      <c r="D69" s="574"/>
      <c r="E69" s="574"/>
      <c r="F69" s="574"/>
      <c r="G69" s="574"/>
      <c r="H69" s="578"/>
      <c r="I69" s="482">
        <v>109.81666666666665</v>
      </c>
      <c r="AA69">
        <v>-2.4138999999999999</v>
      </c>
    </row>
    <row r="70" spans="1:27" hidden="1" x14ac:dyDescent="0.3">
      <c r="A70" s="374">
        <v>2021</v>
      </c>
      <c r="B70" s="586">
        <f t="shared" si="5"/>
        <v>2.8426286841610891E-2</v>
      </c>
      <c r="C70" s="585">
        <f>AA87</f>
        <v>138.38548166666666</v>
      </c>
      <c r="D70" s="574"/>
      <c r="E70" s="574"/>
      <c r="F70" s="574"/>
      <c r="G70" s="574"/>
      <c r="H70" s="578"/>
      <c r="I70" s="482">
        <v>112.88333333333334</v>
      </c>
    </row>
    <row r="71" spans="1:27" hidden="1" x14ac:dyDescent="0.3">
      <c r="A71" s="374">
        <v>2022</v>
      </c>
      <c r="B71" s="586">
        <f t="shared" si="5"/>
        <v>7.4884908748074352E-2</v>
      </c>
      <c r="C71" s="585">
        <f>AA88</f>
        <v>148.74846583333331</v>
      </c>
      <c r="D71" s="574"/>
      <c r="E71" s="574"/>
      <c r="F71" s="574"/>
      <c r="G71" s="574"/>
      <c r="H71" s="578"/>
      <c r="I71" s="482">
        <v>121.19166666666666</v>
      </c>
      <c r="Z71" s="383">
        <v>82.2</v>
      </c>
      <c r="AA71" s="582">
        <f>AA$68*Z71+AA$69</f>
        <v>100.11416000000001</v>
      </c>
    </row>
    <row r="72" spans="1:27" hidden="1" x14ac:dyDescent="0.3">
      <c r="A72" s="374">
        <v>2023</v>
      </c>
      <c r="B72" s="586">
        <f>(C72-C71)/C71</f>
        <v>7.4209874623973146E-2</v>
      </c>
      <c r="C72" s="585">
        <f>AA89</f>
        <v>159.78707083333333</v>
      </c>
      <c r="D72" s="574"/>
      <c r="E72" s="574"/>
      <c r="F72" s="574"/>
      <c r="G72" s="574"/>
      <c r="H72" s="578"/>
      <c r="I72" s="482">
        <v>130.04166666666666</v>
      </c>
      <c r="Z72" s="383">
        <v>83.2</v>
      </c>
      <c r="AA72" s="582">
        <f t="shared" ref="AA72:AA89" si="6">AA$68*Z72+AA$69</f>
        <v>101.36146000000001</v>
      </c>
    </row>
    <row r="73" spans="1:27" ht="15" hidden="1" thickBot="1" x14ac:dyDescent="0.35">
      <c r="A73" s="575">
        <v>2024</v>
      </c>
      <c r="B73" s="667">
        <f>(C73-C72)/C72</f>
        <v>1.33258069977868E-3</v>
      </c>
      <c r="C73" s="666">
        <v>160</v>
      </c>
      <c r="D73" s="576"/>
      <c r="E73" s="576"/>
      <c r="F73" s="576"/>
      <c r="G73" s="576"/>
      <c r="H73" s="579"/>
      <c r="I73" s="483"/>
      <c r="Z73" s="383">
        <v>85.2</v>
      </c>
      <c r="AA73" s="582">
        <f t="shared" si="6"/>
        <v>103.85606000000001</v>
      </c>
    </row>
    <row r="74" spans="1:27" hidden="1" x14ac:dyDescent="0.3">
      <c r="C74" s="581"/>
      <c r="Z74" s="383">
        <v>89.1</v>
      </c>
      <c r="AA74" s="582">
        <f t="shared" si="6"/>
        <v>108.72053</v>
      </c>
    </row>
    <row r="75" spans="1:27" hidden="1" x14ac:dyDescent="0.3">
      <c r="Z75" s="383">
        <v>92.3</v>
      </c>
      <c r="AA75" s="582">
        <f t="shared" si="6"/>
        <v>112.71189000000001</v>
      </c>
    </row>
    <row r="76" spans="1:27" hidden="1" x14ac:dyDescent="0.3">
      <c r="Z76" s="459">
        <v>93.1</v>
      </c>
      <c r="AA76" s="582">
        <f t="shared" si="6"/>
        <v>113.70973000000001</v>
      </c>
    </row>
    <row r="77" spans="1:27" hidden="1" x14ac:dyDescent="0.3">
      <c r="Z77" s="383">
        <v>94.7</v>
      </c>
      <c r="AA77" s="582">
        <f t="shared" si="6"/>
        <v>115.70541000000001</v>
      </c>
    </row>
    <row r="78" spans="1:27" hidden="1" x14ac:dyDescent="0.3">
      <c r="Z78" s="383">
        <v>96</v>
      </c>
      <c r="AA78" s="582">
        <f t="shared" si="6"/>
        <v>117.32690000000001</v>
      </c>
    </row>
    <row r="79" spans="1:27" hidden="1" x14ac:dyDescent="0.3">
      <c r="Z79" s="383">
        <v>98.2</v>
      </c>
      <c r="AA79" s="582">
        <f t="shared" si="6"/>
        <v>120.07096000000001</v>
      </c>
    </row>
    <row r="80" spans="1:27" hidden="1" x14ac:dyDescent="0.3">
      <c r="Z80" s="383">
        <v>99.2</v>
      </c>
      <c r="AA80" s="582">
        <f t="shared" si="6"/>
        <v>121.31826000000001</v>
      </c>
    </row>
    <row r="81" spans="26:27" hidden="1" x14ac:dyDescent="0.3">
      <c r="Z81" s="472">
        <v>100</v>
      </c>
      <c r="AA81" s="582">
        <f t="shared" si="6"/>
        <v>122.31610000000001</v>
      </c>
    </row>
    <row r="82" spans="26:27" hidden="1" x14ac:dyDescent="0.3">
      <c r="Z82" s="383">
        <v>100.9</v>
      </c>
      <c r="AA82" s="582">
        <f t="shared" si="6"/>
        <v>123.43867000000002</v>
      </c>
    </row>
    <row r="83" spans="26:27" hidden="1" x14ac:dyDescent="0.3">
      <c r="Z83" s="383">
        <v>102.7</v>
      </c>
      <c r="AA83" s="582">
        <f t="shared" si="6"/>
        <v>125.68381000000001</v>
      </c>
    </row>
    <row r="84" spans="26:27" hidden="1" x14ac:dyDescent="0.3">
      <c r="Z84" s="473">
        <v>105.8</v>
      </c>
      <c r="AA84" s="582">
        <f t="shared" si="6"/>
        <v>129.55043999999998</v>
      </c>
    </row>
    <row r="85" spans="26:27" hidden="1" x14ac:dyDescent="0.3">
      <c r="Z85" s="141">
        <f>I68</f>
        <v>108.125</v>
      </c>
      <c r="AA85" s="583">
        <f t="shared" si="6"/>
        <v>132.4504125</v>
      </c>
    </row>
    <row r="86" spans="26:27" hidden="1" x14ac:dyDescent="0.3">
      <c r="Z86" s="141">
        <f>I69</f>
        <v>109.81666666666665</v>
      </c>
      <c r="AA86" s="583">
        <f t="shared" si="6"/>
        <v>134.56042833333331</v>
      </c>
    </row>
    <row r="87" spans="26:27" hidden="1" x14ac:dyDescent="0.3">
      <c r="Z87" s="141">
        <f>I70</f>
        <v>112.88333333333334</v>
      </c>
      <c r="AA87" s="583">
        <f t="shared" si="6"/>
        <v>138.38548166666666</v>
      </c>
    </row>
    <row r="88" spans="26:27" hidden="1" x14ac:dyDescent="0.3">
      <c r="Z88" s="141">
        <f>I71</f>
        <v>121.19166666666666</v>
      </c>
      <c r="AA88" s="583">
        <f t="shared" si="6"/>
        <v>148.74846583333331</v>
      </c>
    </row>
    <row r="89" spans="26:27" hidden="1" x14ac:dyDescent="0.3">
      <c r="Z89" s="141">
        <f>I72</f>
        <v>130.04166666666666</v>
      </c>
      <c r="AA89" s="583">
        <f t="shared" si="6"/>
        <v>159.78707083333333</v>
      </c>
    </row>
    <row r="90" spans="26:27" hidden="1" x14ac:dyDescent="0.3"/>
    <row r="91" spans="26:27" hidden="1" x14ac:dyDescent="0.3">
      <c r="Z91" t="s">
        <v>291</v>
      </c>
      <c r="AA91" t="s">
        <v>221</v>
      </c>
    </row>
    <row r="92" spans="26:27" hidden="1" x14ac:dyDescent="0.3">
      <c r="Z92" t="s">
        <v>368</v>
      </c>
      <c r="AA92" t="s">
        <v>367</v>
      </c>
    </row>
    <row r="93" spans="26:27" hidden="1" x14ac:dyDescent="0.3"/>
    <row r="94" spans="26:27" hidden="1" x14ac:dyDescent="0.3"/>
    <row r="95" spans="26:27" hidden="1" x14ac:dyDescent="0.3"/>
    <row r="96" spans="26:27" hidden="1" x14ac:dyDescent="0.3"/>
    <row r="97" hidden="1" x14ac:dyDescent="0.3"/>
    <row r="98" hidden="1" x14ac:dyDescent="0.3"/>
    <row r="99" hidden="1" x14ac:dyDescent="0.3"/>
  </sheetData>
  <sheetProtection algorithmName="SHA-512" hashValue="9YU36Ocz0QQGYwvNiSIwL7KGSypTZSUaFGkmD45gDMUmxw3jBT4oI5N4oT26oDTQFY3Vv0A9FdATXQ4o4Rzm1g==" saltValue="kxY9lJsfGl2wEvdTlE4Idg==" spinCount="100000" sheet="1" objects="1" scenarios="1"/>
  <mergeCells count="9">
    <mergeCell ref="O10:R10"/>
    <mergeCell ref="S10:V10"/>
    <mergeCell ref="D26:E26"/>
    <mergeCell ref="B26:C26"/>
    <mergeCell ref="C9:E9"/>
    <mergeCell ref="G9:I9"/>
    <mergeCell ref="K10:N10"/>
    <mergeCell ref="F26:G26"/>
    <mergeCell ref="H26:I26"/>
  </mergeCells>
  <phoneticPr fontId="52" type="noConversion"/>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99"/>
  <sheetViews>
    <sheetView topLeftCell="A100" workbookViewId="0">
      <selection activeCell="A100" sqref="A1:XFD1048576"/>
    </sheetView>
  </sheetViews>
  <sheetFormatPr baseColWidth="10" defaultRowHeight="14.4" x14ac:dyDescent="0.3"/>
  <cols>
    <col min="1" max="1" width="21.5546875" bestFit="1" customWidth="1"/>
    <col min="2" max="2" width="18.109375" customWidth="1"/>
    <col min="3" max="9" width="8.6640625" customWidth="1"/>
    <col min="10" max="10" width="4" customWidth="1"/>
    <col min="11" max="23" width="6.6640625" customWidth="1"/>
    <col min="25" max="30" width="11.5546875" customWidth="1"/>
  </cols>
  <sheetData>
    <row r="1" spans="1:38" s="2" customFormat="1" ht="24.6" hidden="1" x14ac:dyDescent="0.3">
      <c r="A1" s="202" t="s">
        <v>0</v>
      </c>
      <c r="B1" s="203"/>
      <c r="C1" s="3"/>
      <c r="D1" s="3"/>
      <c r="E1" s="203"/>
      <c r="F1" s="3"/>
      <c r="G1" s="3"/>
      <c r="H1" s="203"/>
      <c r="I1" s="3"/>
      <c r="J1" s="3"/>
      <c r="K1" s="203"/>
      <c r="L1" s="3"/>
      <c r="M1" s="3"/>
      <c r="N1" s="203"/>
      <c r="O1" s="3"/>
      <c r="P1" s="3"/>
      <c r="Q1" s="3"/>
      <c r="R1" s="3"/>
      <c r="S1" s="3"/>
      <c r="T1" s="3"/>
      <c r="U1" s="3"/>
      <c r="V1" s="3"/>
      <c r="W1" s="3"/>
      <c r="X1" s="3"/>
      <c r="Y1" s="3"/>
      <c r="Z1" s="203"/>
      <c r="AA1" s="203"/>
      <c r="AB1" s="3"/>
      <c r="AC1" s="3"/>
      <c r="AD1" s="203"/>
      <c r="AE1" s="3"/>
      <c r="AF1" s="3"/>
      <c r="AG1" s="203"/>
      <c r="AH1" s="3"/>
      <c r="AI1" s="3"/>
      <c r="AJ1" s="203"/>
      <c r="AK1" s="3"/>
      <c r="AL1" s="3"/>
    </row>
    <row r="2" spans="1:38" s="2" customFormat="1" ht="22.8" hidden="1" x14ac:dyDescent="0.4">
      <c r="A2" s="204" t="s">
        <v>252</v>
      </c>
      <c r="B2" s="203"/>
      <c r="C2" s="3"/>
      <c r="D2" s="3"/>
      <c r="E2" s="203"/>
      <c r="F2" s="3"/>
      <c r="G2" s="3"/>
      <c r="H2" s="203"/>
      <c r="I2" s="3"/>
      <c r="J2" s="3"/>
      <c r="K2" s="203"/>
      <c r="L2" s="3"/>
      <c r="M2" s="3"/>
      <c r="N2" s="203"/>
      <c r="O2" s="3"/>
      <c r="P2" s="3"/>
      <c r="Q2" s="3"/>
      <c r="R2" s="3"/>
      <c r="S2" s="3"/>
      <c r="T2" s="3"/>
      <c r="U2" s="3"/>
      <c r="V2" s="3"/>
      <c r="W2" s="3"/>
      <c r="X2" s="3"/>
      <c r="Y2" s="3"/>
      <c r="Z2" s="203"/>
      <c r="AA2" s="203"/>
      <c r="AB2" s="3"/>
      <c r="AC2" s="3"/>
      <c r="AD2" s="203"/>
      <c r="AE2" s="3"/>
      <c r="AF2" s="3"/>
      <c r="AG2" s="203"/>
      <c r="AH2" s="3"/>
      <c r="AI2" s="3"/>
      <c r="AJ2" s="203"/>
      <c r="AK2" s="3"/>
      <c r="AL2" s="3"/>
    </row>
    <row r="3" spans="1:38" s="2" customFormat="1" ht="17.399999999999999" hidden="1" x14ac:dyDescent="0.3">
      <c r="A3" s="205" t="s">
        <v>364</v>
      </c>
      <c r="B3" s="203"/>
      <c r="C3" s="3"/>
      <c r="D3" s="3"/>
      <c r="E3" s="203"/>
      <c r="F3" s="3"/>
      <c r="G3" s="3"/>
      <c r="H3" s="203"/>
      <c r="I3" s="3"/>
      <c r="J3" s="3"/>
      <c r="K3" s="203"/>
      <c r="L3" s="3"/>
      <c r="M3" s="3"/>
      <c r="N3" s="203"/>
      <c r="O3" s="3"/>
      <c r="P3" s="3"/>
      <c r="Q3" s="3"/>
      <c r="R3" s="3"/>
      <c r="S3" s="3"/>
      <c r="T3" s="3"/>
      <c r="U3" s="3"/>
      <c r="V3" s="3"/>
      <c r="W3" s="3"/>
      <c r="X3" s="3"/>
      <c r="Y3" s="3"/>
      <c r="Z3" s="203"/>
      <c r="AA3" s="203"/>
      <c r="AB3" s="3"/>
      <c r="AC3" s="3"/>
      <c r="AD3" s="203"/>
      <c r="AE3" s="3"/>
      <c r="AF3" s="3"/>
      <c r="AG3" s="203"/>
      <c r="AH3" s="3"/>
      <c r="AI3" s="3"/>
      <c r="AJ3" s="203"/>
      <c r="AK3" s="3"/>
      <c r="AL3" s="3"/>
    </row>
    <row r="4" spans="1:38" hidden="1" x14ac:dyDescent="0.3"/>
    <row r="5" spans="1:38" hidden="1" x14ac:dyDescent="0.3"/>
    <row r="6" spans="1:38" hidden="1" x14ac:dyDescent="0.3"/>
    <row r="7" spans="1:38" hidden="1" x14ac:dyDescent="0.3"/>
    <row r="8" spans="1:38" hidden="1" x14ac:dyDescent="0.3"/>
    <row r="9" spans="1:38" hidden="1" x14ac:dyDescent="0.3">
      <c r="C9" s="787" t="s">
        <v>198</v>
      </c>
      <c r="D9" s="788"/>
      <c r="E9" s="788"/>
      <c r="F9" s="304"/>
      <c r="G9" s="787" t="s">
        <v>199</v>
      </c>
      <c r="H9" s="788"/>
      <c r="I9" s="788"/>
      <c r="J9" s="305"/>
      <c r="K9" s="306" t="s">
        <v>200</v>
      </c>
      <c r="L9" s="307"/>
      <c r="M9" s="307"/>
      <c r="N9" s="307"/>
      <c r="O9" s="308"/>
      <c r="P9" s="307"/>
      <c r="Q9" s="307"/>
      <c r="R9" s="307"/>
      <c r="S9" s="308"/>
      <c r="T9" s="307"/>
      <c r="U9" s="307"/>
      <c r="V9" s="307"/>
      <c r="W9" s="305"/>
    </row>
    <row r="10" spans="1:38" hidden="1" x14ac:dyDescent="0.3">
      <c r="A10" s="309" t="s">
        <v>201</v>
      </c>
      <c r="B10" s="310" t="s">
        <v>194</v>
      </c>
      <c r="C10" s="311"/>
      <c r="D10" s="312"/>
      <c r="E10" s="313"/>
      <c r="F10" s="314"/>
      <c r="G10" s="315" t="s">
        <v>202</v>
      </c>
      <c r="H10" s="316" t="s">
        <v>203</v>
      </c>
      <c r="I10" s="317" t="s">
        <v>204</v>
      </c>
      <c r="J10" s="310"/>
      <c r="K10" s="789" t="s">
        <v>202</v>
      </c>
      <c r="L10" s="790"/>
      <c r="M10" s="790"/>
      <c r="N10" s="790"/>
      <c r="O10" s="779" t="s">
        <v>203</v>
      </c>
      <c r="P10" s="780"/>
      <c r="Q10" s="780"/>
      <c r="R10" s="781"/>
      <c r="S10" s="782" t="s">
        <v>204</v>
      </c>
      <c r="T10" s="783"/>
      <c r="U10" s="783"/>
      <c r="V10" s="784"/>
      <c r="W10" s="310"/>
      <c r="Y10" s="392"/>
      <c r="Z10" s="398" t="s">
        <v>230</v>
      </c>
      <c r="AA10" s="398" t="s">
        <v>230</v>
      </c>
      <c r="AB10" s="398" t="s">
        <v>219</v>
      </c>
      <c r="AC10" s="393" t="s">
        <v>231</v>
      </c>
    </row>
    <row r="11" spans="1:38" hidden="1" x14ac:dyDescent="0.3">
      <c r="A11" s="318"/>
      <c r="B11" s="319"/>
      <c r="C11" s="320"/>
      <c r="D11" s="321"/>
      <c r="E11" s="322"/>
      <c r="F11" s="323"/>
      <c r="G11" s="324"/>
      <c r="H11" s="325"/>
      <c r="I11" s="326"/>
      <c r="J11" s="319"/>
      <c r="K11" s="327"/>
      <c r="L11" s="328"/>
      <c r="M11" s="328"/>
      <c r="N11" s="328"/>
      <c r="O11" s="329"/>
      <c r="P11" s="330"/>
      <c r="Q11" s="330"/>
      <c r="R11" s="331"/>
      <c r="S11" s="332"/>
      <c r="T11" s="333"/>
      <c r="U11" s="333"/>
      <c r="V11" s="334"/>
      <c r="W11" s="319"/>
      <c r="Y11" s="394"/>
      <c r="Z11" s="399"/>
      <c r="AA11" s="399" t="s">
        <v>229</v>
      </c>
      <c r="AB11" s="399"/>
      <c r="AC11" s="395"/>
    </row>
    <row r="12" spans="1:38" ht="81.599999999999994" hidden="1" x14ac:dyDescent="0.3">
      <c r="A12" s="335"/>
      <c r="B12" s="336"/>
      <c r="C12" s="337"/>
      <c r="D12" s="338"/>
      <c r="E12" s="339"/>
      <c r="F12" s="340"/>
      <c r="G12" s="337"/>
      <c r="H12" s="338"/>
      <c r="I12" s="339"/>
      <c r="J12" s="336"/>
      <c r="K12" s="341" t="s">
        <v>194</v>
      </c>
      <c r="L12" s="342" t="s">
        <v>205</v>
      </c>
      <c r="M12" s="342" t="s">
        <v>206</v>
      </c>
      <c r="N12" s="342" t="s">
        <v>207</v>
      </c>
      <c r="O12" s="341" t="s">
        <v>194</v>
      </c>
      <c r="P12" s="342" t="s">
        <v>205</v>
      </c>
      <c r="Q12" s="342" t="s">
        <v>206</v>
      </c>
      <c r="R12" s="342" t="s">
        <v>207</v>
      </c>
      <c r="S12" s="341" t="s">
        <v>194</v>
      </c>
      <c r="T12" s="342" t="s">
        <v>205</v>
      </c>
      <c r="U12" s="342" t="s">
        <v>206</v>
      </c>
      <c r="V12" s="343" t="s">
        <v>207</v>
      </c>
      <c r="W12" s="336"/>
      <c r="Y12" s="396" t="s">
        <v>195</v>
      </c>
      <c r="Z12" s="400" t="s">
        <v>196</v>
      </c>
      <c r="AA12" s="400" t="s">
        <v>196</v>
      </c>
      <c r="AB12" s="400" t="s">
        <v>111</v>
      </c>
      <c r="AC12" s="397" t="s">
        <v>197</v>
      </c>
    </row>
    <row r="13" spans="1:38" hidden="1" x14ac:dyDescent="0.3">
      <c r="A13" s="344" t="s">
        <v>214</v>
      </c>
      <c r="B13" s="345" t="s">
        <v>251</v>
      </c>
      <c r="C13" s="346">
        <v>568.4515781238714</v>
      </c>
      <c r="D13" s="347">
        <v>750.71423623839109</v>
      </c>
      <c r="E13" s="348">
        <v>946.9199649449381</v>
      </c>
      <c r="F13" s="349" t="s">
        <v>209</v>
      </c>
      <c r="G13" s="346">
        <v>64.452447328028555</v>
      </c>
      <c r="H13" s="347">
        <v>79.783803931536269</v>
      </c>
      <c r="I13" s="348">
        <v>96.288007401240463</v>
      </c>
      <c r="J13" s="352" t="s">
        <v>209</v>
      </c>
      <c r="K13" s="353">
        <v>64.452447328028555</v>
      </c>
      <c r="L13" s="353">
        <v>64.452447328028555</v>
      </c>
      <c r="M13" s="353">
        <v>84.094500475859832</v>
      </c>
      <c r="N13" s="353">
        <v>91.624704213016372</v>
      </c>
      <c r="O13" s="353">
        <v>79.783803931536269</v>
      </c>
      <c r="P13" s="353">
        <v>79.783803931536269</v>
      </c>
      <c r="Q13" s="353">
        <v>99.425857079367546</v>
      </c>
      <c r="R13" s="354">
        <v>106.95606081652409</v>
      </c>
      <c r="S13" s="353">
        <v>96.288007401240463</v>
      </c>
      <c r="T13" s="353">
        <v>96.288007401240463</v>
      </c>
      <c r="U13" s="353">
        <v>115.93006054907173</v>
      </c>
      <c r="V13" s="354">
        <v>123.46026428622827</v>
      </c>
      <c r="W13" s="355" t="s">
        <v>209</v>
      </c>
      <c r="Y13" s="402">
        <f>'Calcul FLASH''MECA'!B65</f>
        <v>0</v>
      </c>
      <c r="Z13" s="403">
        <f>'Calcul FLASH''MECA'!C65</f>
        <v>0</v>
      </c>
      <c r="AA13" s="404">
        <f>($C$76*Z13)/VLOOKUP(Y13,$A$20:$C$76,3)</f>
        <v>0</v>
      </c>
      <c r="AB13" s="405">
        <f>'Calcul FLASH''MECA'!E65</f>
        <v>0</v>
      </c>
      <c r="AC13" s="406">
        <f>'Calcul FLASH''MECA'!H65</f>
        <v>0</v>
      </c>
      <c r="AD13" s="401" t="s">
        <v>209</v>
      </c>
    </row>
    <row r="14" spans="1:38" hidden="1" x14ac:dyDescent="0.3">
      <c r="A14" s="344"/>
      <c r="B14" s="345"/>
      <c r="C14" s="346"/>
      <c r="D14" s="347"/>
      <c r="E14" s="348"/>
      <c r="F14" s="353" t="s">
        <v>209</v>
      </c>
      <c r="G14" s="346"/>
      <c r="H14" s="347"/>
      <c r="I14" s="348"/>
      <c r="J14" s="354" t="s">
        <v>209</v>
      </c>
      <c r="K14" s="353"/>
      <c r="L14" s="353"/>
      <c r="M14" s="353"/>
      <c r="N14" s="353"/>
      <c r="O14" s="353"/>
      <c r="P14" s="353"/>
      <c r="Q14" s="353"/>
      <c r="R14" s="354"/>
      <c r="S14" s="353"/>
      <c r="T14" s="353"/>
      <c r="U14" s="353"/>
      <c r="V14" s="354"/>
      <c r="W14" s="356" t="s">
        <v>209</v>
      </c>
      <c r="Y14" s="407">
        <f>'Calcul FLASH''MECA'!B73</f>
        <v>0</v>
      </c>
      <c r="Z14" s="408">
        <f>'Calcul FLASH''MECA'!C73</f>
        <v>0</v>
      </c>
      <c r="AA14" s="409">
        <f>($C$76*Z14)/VLOOKUP(Y14,$A$20:$C$76,3)</f>
        <v>0</v>
      </c>
      <c r="AB14" s="410">
        <f>'Calcul FLASH''MECA'!E73</f>
        <v>0</v>
      </c>
      <c r="AC14" s="411">
        <f>'Calcul FLASH''MECA'!H73</f>
        <v>0</v>
      </c>
      <c r="AD14" s="401" t="s">
        <v>209</v>
      </c>
    </row>
    <row r="15" spans="1:38" hidden="1" x14ac:dyDescent="0.3">
      <c r="A15" s="357"/>
      <c r="B15" s="358"/>
      <c r="C15" s="359"/>
      <c r="D15" s="360"/>
      <c r="E15" s="361"/>
      <c r="F15" s="362" t="s">
        <v>209</v>
      </c>
      <c r="G15" s="359"/>
      <c r="H15" s="360"/>
      <c r="I15" s="361"/>
      <c r="J15" s="365" t="s">
        <v>209</v>
      </c>
      <c r="K15" s="362"/>
      <c r="L15" s="362"/>
      <c r="M15" s="362"/>
      <c r="N15" s="362"/>
      <c r="O15" s="362"/>
      <c r="P15" s="362"/>
      <c r="Q15" s="362"/>
      <c r="R15" s="365"/>
      <c r="S15" s="362"/>
      <c r="T15" s="362"/>
      <c r="U15" s="362"/>
      <c r="V15" s="365"/>
      <c r="W15" s="366" t="s">
        <v>209</v>
      </c>
      <c r="Y15" s="412">
        <f>'Calcul FLASH''MECA'!B74</f>
        <v>0</v>
      </c>
      <c r="Z15" s="413">
        <f>'Calcul FLASH''MECA'!C74</f>
        <v>0</v>
      </c>
      <c r="AA15" s="414">
        <f>($C$76*Z15)/VLOOKUP(Y15,$A$20:$C$76,3)</f>
        <v>0</v>
      </c>
      <c r="AB15" s="415">
        <f>'Calcul FLASH''MECA'!E74</f>
        <v>0</v>
      </c>
      <c r="AC15" s="416">
        <f>'Calcul FLASH''MECA'!H74</f>
        <v>0</v>
      </c>
      <c r="AD15" s="401" t="s">
        <v>209</v>
      </c>
    </row>
    <row r="16" spans="1:38" hidden="1" x14ac:dyDescent="0.3">
      <c r="C16" s="367"/>
      <c r="D16" s="367"/>
      <c r="E16" s="367"/>
      <c r="F16" s="367"/>
      <c r="G16" s="367"/>
      <c r="H16" s="367"/>
      <c r="I16" s="367"/>
      <c r="J16" s="367"/>
      <c r="K16" s="367"/>
      <c r="L16" s="367"/>
      <c r="M16" s="367"/>
      <c r="N16" s="367"/>
      <c r="O16" s="367"/>
      <c r="P16" s="367"/>
      <c r="Q16" s="367"/>
      <c r="R16" s="367"/>
      <c r="S16" s="367"/>
      <c r="T16" s="367"/>
      <c r="U16" s="367"/>
      <c r="V16" s="367"/>
      <c r="W16" s="367"/>
      <c r="Z16" s="367"/>
      <c r="AA16" s="367"/>
      <c r="AB16" s="391"/>
    </row>
    <row r="17" spans="1:18" hidden="1" x14ac:dyDescent="0.3"/>
    <row r="18" spans="1:18" ht="15" hidden="1" thickBot="1" x14ac:dyDescent="0.35"/>
    <row r="19" spans="1:18" ht="15.6" hidden="1" x14ac:dyDescent="0.3">
      <c r="A19" s="368" t="s">
        <v>217</v>
      </c>
      <c r="B19" s="785" t="s">
        <v>221</v>
      </c>
      <c r="C19" s="785"/>
      <c r="D19" s="785" t="s">
        <v>222</v>
      </c>
      <c r="E19" s="786"/>
      <c r="F19" s="791" t="s">
        <v>291</v>
      </c>
      <c r="G19" s="786"/>
    </row>
    <row r="20" spans="1:18" hidden="1" x14ac:dyDescent="0.3">
      <c r="A20" s="369" t="s">
        <v>218</v>
      </c>
      <c r="B20" s="382"/>
      <c r="C20" s="370"/>
      <c r="D20" s="370" t="s">
        <v>219</v>
      </c>
      <c r="E20" s="371" t="s">
        <v>220</v>
      </c>
      <c r="F20" s="369" t="s">
        <v>219</v>
      </c>
      <c r="G20" s="371" t="s">
        <v>220</v>
      </c>
    </row>
    <row r="21" spans="1:18" hidden="1" x14ac:dyDescent="0.3">
      <c r="A21" s="369">
        <v>0</v>
      </c>
      <c r="B21" s="382"/>
      <c r="C21" s="370">
        <v>1</v>
      </c>
      <c r="D21" s="370"/>
      <c r="E21" s="371"/>
      <c r="F21" s="369"/>
      <c r="G21" s="371"/>
    </row>
    <row r="22" spans="1:18" hidden="1" x14ac:dyDescent="0.3">
      <c r="A22" s="457">
        <v>1970</v>
      </c>
      <c r="B22" s="382"/>
      <c r="C22" s="456">
        <f t="shared" ref="C22:C30" si="0">C23-R$32</f>
        <v>35.799999999999997</v>
      </c>
      <c r="D22" s="370"/>
      <c r="E22" s="371"/>
      <c r="F22" s="460"/>
      <c r="G22" s="373"/>
    </row>
    <row r="23" spans="1:18" hidden="1" x14ac:dyDescent="0.3">
      <c r="A23" s="457">
        <v>1971</v>
      </c>
      <c r="B23" s="382"/>
      <c r="C23" s="456">
        <f t="shared" si="0"/>
        <v>35.799999999999997</v>
      </c>
      <c r="D23" s="370"/>
      <c r="E23" s="371"/>
      <c r="F23" s="460"/>
      <c r="G23" s="373"/>
    </row>
    <row r="24" spans="1:18" hidden="1" x14ac:dyDescent="0.3">
      <c r="A24" s="457">
        <v>1972</v>
      </c>
      <c r="B24" s="382"/>
      <c r="C24" s="456">
        <f t="shared" si="0"/>
        <v>35.799999999999997</v>
      </c>
      <c r="D24" s="370"/>
      <c r="E24" s="371"/>
      <c r="F24" s="460"/>
      <c r="G24" s="373"/>
    </row>
    <row r="25" spans="1:18" hidden="1" x14ac:dyDescent="0.3">
      <c r="A25" s="457">
        <v>1973</v>
      </c>
      <c r="B25" s="382"/>
      <c r="C25" s="456">
        <f t="shared" si="0"/>
        <v>35.799999999999997</v>
      </c>
      <c r="D25" s="370"/>
      <c r="E25" s="371"/>
      <c r="F25" s="460"/>
      <c r="G25" s="373"/>
    </row>
    <row r="26" spans="1:18" hidden="1" x14ac:dyDescent="0.3">
      <c r="A26" s="457">
        <v>1974</v>
      </c>
      <c r="B26" s="382"/>
      <c r="C26" s="456">
        <f t="shared" si="0"/>
        <v>35.799999999999997</v>
      </c>
      <c r="D26" s="370"/>
      <c r="E26" s="371"/>
      <c r="F26" s="460"/>
      <c r="G26" s="373"/>
    </row>
    <row r="27" spans="1:18" hidden="1" x14ac:dyDescent="0.3">
      <c r="A27" s="457">
        <v>1975</v>
      </c>
      <c r="B27" s="382"/>
      <c r="C27" s="456">
        <f t="shared" si="0"/>
        <v>35.799999999999997</v>
      </c>
      <c r="D27" s="370"/>
      <c r="E27" s="371"/>
      <c r="F27" s="460"/>
      <c r="G27" s="373"/>
    </row>
    <row r="28" spans="1:18" hidden="1" x14ac:dyDescent="0.3">
      <c r="A28" s="457">
        <v>1976</v>
      </c>
      <c r="B28" s="382"/>
      <c r="C28" s="456">
        <f t="shared" si="0"/>
        <v>35.799999999999997</v>
      </c>
      <c r="D28" s="370"/>
      <c r="E28" s="371"/>
      <c r="F28" s="460"/>
      <c r="G28" s="373"/>
    </row>
    <row r="29" spans="1:18" hidden="1" x14ac:dyDescent="0.3">
      <c r="A29" s="457">
        <v>1977</v>
      </c>
      <c r="B29" s="382"/>
      <c r="C29" s="456">
        <f t="shared" si="0"/>
        <v>35.799999999999997</v>
      </c>
      <c r="D29" s="370"/>
      <c r="E29" s="371"/>
      <c r="F29" s="460"/>
      <c r="G29" s="373"/>
    </row>
    <row r="30" spans="1:18" hidden="1" x14ac:dyDescent="0.3">
      <c r="A30" s="457">
        <v>1978</v>
      </c>
      <c r="B30" s="382"/>
      <c r="C30" s="456">
        <f t="shared" si="0"/>
        <v>35.799999999999997</v>
      </c>
      <c r="D30" s="370"/>
      <c r="E30" s="371"/>
      <c r="F30" s="460"/>
      <c r="G30" s="373"/>
    </row>
    <row r="31" spans="1:18" hidden="1" x14ac:dyDescent="0.3">
      <c r="A31" s="457">
        <v>1979</v>
      </c>
      <c r="B31" s="382"/>
      <c r="C31" s="456">
        <f>C32-R$32</f>
        <v>35.799999999999997</v>
      </c>
      <c r="D31" s="370"/>
      <c r="E31" s="371"/>
      <c r="F31" s="460"/>
      <c r="G31" s="373"/>
    </row>
    <row r="32" spans="1:18" hidden="1" x14ac:dyDescent="0.3">
      <c r="A32" s="369">
        <v>1980</v>
      </c>
      <c r="B32" s="386"/>
      <c r="C32" s="382">
        <v>35.799999999999997</v>
      </c>
      <c r="D32" s="372"/>
      <c r="E32" s="373"/>
      <c r="F32" s="460"/>
      <c r="G32" s="373"/>
      <c r="Q32" s="380"/>
      <c r="R32" s="490"/>
    </row>
    <row r="33" spans="1:18" hidden="1" x14ac:dyDescent="0.3">
      <c r="A33" s="369">
        <v>1981</v>
      </c>
      <c r="B33" s="386">
        <f t="shared" ref="B33:B56" si="1">(C33-C32)/C32</f>
        <v>0.13407821229050293</v>
      </c>
      <c r="C33" s="382">
        <v>40.6</v>
      </c>
      <c r="D33" s="372"/>
      <c r="E33" s="373"/>
      <c r="F33" s="460"/>
      <c r="G33" s="373"/>
      <c r="Q33" s="380"/>
      <c r="R33" s="490"/>
    </row>
    <row r="34" spans="1:18" hidden="1" x14ac:dyDescent="0.3">
      <c r="A34" s="369">
        <v>1982</v>
      </c>
      <c r="B34" s="386">
        <f t="shared" si="1"/>
        <v>0.14039408866995062</v>
      </c>
      <c r="C34" s="382">
        <v>46.3</v>
      </c>
      <c r="D34" s="372"/>
      <c r="E34" s="373"/>
      <c r="F34" s="460"/>
      <c r="G34" s="373"/>
      <c r="Q34" s="380"/>
      <c r="R34" s="490"/>
    </row>
    <row r="35" spans="1:18" hidden="1" x14ac:dyDescent="0.3">
      <c r="A35" s="369">
        <v>1983</v>
      </c>
      <c r="B35" s="386">
        <f t="shared" si="1"/>
        <v>9.719222462203024E-2</v>
      </c>
      <c r="C35" s="382">
        <v>50.8</v>
      </c>
      <c r="D35" s="372"/>
      <c r="E35" s="373"/>
      <c r="F35" s="460"/>
      <c r="G35" s="373"/>
      <c r="Q35" s="380"/>
      <c r="R35" s="490"/>
    </row>
    <row r="36" spans="1:18" hidden="1" x14ac:dyDescent="0.3">
      <c r="A36" s="369">
        <v>1984</v>
      </c>
      <c r="B36" s="386">
        <f t="shared" si="1"/>
        <v>7.0866141732283491E-2</v>
      </c>
      <c r="C36" s="382">
        <v>54.4</v>
      </c>
      <c r="D36" s="372"/>
      <c r="E36" s="373"/>
      <c r="F36" s="460"/>
      <c r="G36" s="373"/>
      <c r="Q36" s="380"/>
      <c r="R36" s="490"/>
    </row>
    <row r="37" spans="1:18" hidden="1" x14ac:dyDescent="0.3">
      <c r="A37" s="369">
        <v>1985</v>
      </c>
      <c r="B37" s="386">
        <f t="shared" si="1"/>
        <v>5.3308823529411742E-2</v>
      </c>
      <c r="C37" s="382">
        <v>57.3</v>
      </c>
      <c r="D37" s="372"/>
      <c r="E37" s="373"/>
      <c r="F37" s="460"/>
      <c r="G37" s="373"/>
      <c r="Q37" s="380"/>
      <c r="R37" s="490"/>
    </row>
    <row r="38" spans="1:18" hidden="1" x14ac:dyDescent="0.3">
      <c r="A38" s="369">
        <v>1986</v>
      </c>
      <c r="B38" s="386">
        <f t="shared" si="1"/>
        <v>5.2356020942408377E-2</v>
      </c>
      <c r="C38" s="382">
        <v>60.3</v>
      </c>
      <c r="D38" s="372"/>
      <c r="E38" s="373"/>
      <c r="F38" s="460"/>
      <c r="G38" s="373"/>
      <c r="Q38" s="380"/>
      <c r="R38" s="490"/>
    </row>
    <row r="39" spans="1:18" hidden="1" x14ac:dyDescent="0.3">
      <c r="A39" s="369">
        <v>1987</v>
      </c>
      <c r="B39" s="386">
        <f t="shared" si="1"/>
        <v>5.3067993366500879E-2</v>
      </c>
      <c r="C39" s="382">
        <v>63.5</v>
      </c>
      <c r="D39" s="372"/>
      <c r="E39" s="373"/>
      <c r="F39" s="460"/>
      <c r="G39" s="373"/>
      <c r="Q39" s="380"/>
      <c r="R39" s="490"/>
    </row>
    <row r="40" spans="1:18" hidden="1" x14ac:dyDescent="0.3">
      <c r="A40" s="369">
        <v>1988</v>
      </c>
      <c r="B40" s="386">
        <f t="shared" si="1"/>
        <v>4.2519685039370127E-2</v>
      </c>
      <c r="C40" s="382">
        <v>66.2</v>
      </c>
      <c r="D40" s="372"/>
      <c r="E40" s="373"/>
      <c r="F40" s="460"/>
      <c r="G40" s="373"/>
      <c r="Q40" s="380"/>
      <c r="R40" s="490"/>
    </row>
    <row r="41" spans="1:18" hidden="1" x14ac:dyDescent="0.3">
      <c r="A41" s="369">
        <v>1989</v>
      </c>
      <c r="B41" s="386">
        <f t="shared" si="1"/>
        <v>4.5317220543806644E-2</v>
      </c>
      <c r="C41" s="382">
        <v>69.2</v>
      </c>
      <c r="D41" s="372"/>
      <c r="E41" s="373"/>
      <c r="F41" s="460"/>
      <c r="G41" s="373"/>
      <c r="Q41" s="380"/>
      <c r="R41" s="490"/>
    </row>
    <row r="42" spans="1:18" hidden="1" x14ac:dyDescent="0.3">
      <c r="A42" s="369">
        <v>1990</v>
      </c>
      <c r="B42" s="386">
        <f t="shared" si="1"/>
        <v>4.0462427745664699E-2</v>
      </c>
      <c r="C42" s="382">
        <v>72</v>
      </c>
      <c r="D42" s="372"/>
      <c r="E42" s="373"/>
      <c r="F42" s="460"/>
      <c r="G42" s="373"/>
      <c r="Q42" s="380"/>
    </row>
    <row r="43" spans="1:18" hidden="1" x14ac:dyDescent="0.3">
      <c r="A43" s="369">
        <v>1991</v>
      </c>
      <c r="B43" s="386">
        <f t="shared" si="1"/>
        <v>4.0277777777777857E-2</v>
      </c>
      <c r="C43" s="382">
        <v>74.900000000000006</v>
      </c>
      <c r="D43" s="372"/>
      <c r="E43" s="373"/>
      <c r="F43" s="460"/>
      <c r="G43" s="373"/>
      <c r="Q43" s="380"/>
    </row>
    <row r="44" spans="1:18" hidden="1" x14ac:dyDescent="0.3">
      <c r="A44" s="369">
        <v>1992</v>
      </c>
      <c r="B44" s="386">
        <f t="shared" si="1"/>
        <v>2.4032042723631467E-2</v>
      </c>
      <c r="C44" s="382">
        <v>76.7</v>
      </c>
      <c r="D44" s="372"/>
      <c r="E44" s="373"/>
      <c r="F44" s="460"/>
      <c r="G44" s="373"/>
      <c r="Q44" s="380"/>
    </row>
    <row r="45" spans="1:18" hidden="1" x14ac:dyDescent="0.3">
      <c r="A45" s="369">
        <v>1993</v>
      </c>
      <c r="B45" s="386">
        <f t="shared" si="1"/>
        <v>1.955671447196871E-2</v>
      </c>
      <c r="C45" s="382">
        <v>78.2</v>
      </c>
      <c r="D45" s="372"/>
      <c r="E45" s="373"/>
      <c r="F45" s="460"/>
      <c r="G45" s="373"/>
      <c r="Q45" s="380"/>
    </row>
    <row r="46" spans="1:18" ht="15" hidden="1" thickBot="1" x14ac:dyDescent="0.35">
      <c r="A46" s="369">
        <v>1994</v>
      </c>
      <c r="B46" s="386">
        <f t="shared" si="1"/>
        <v>2.1739130434782643E-2</v>
      </c>
      <c r="C46" s="382">
        <v>79.900000000000006</v>
      </c>
      <c r="D46" s="372"/>
      <c r="E46" s="373"/>
      <c r="F46" s="460"/>
      <c r="G46" s="373"/>
      <c r="Q46" s="380"/>
    </row>
    <row r="47" spans="1:18" hidden="1" x14ac:dyDescent="0.3">
      <c r="A47" s="369">
        <v>1995</v>
      </c>
      <c r="B47" s="386">
        <f t="shared" si="1"/>
        <v>2.2528160200250277E-2</v>
      </c>
      <c r="C47" s="382">
        <v>81.7</v>
      </c>
      <c r="D47" s="372"/>
      <c r="E47" s="373"/>
      <c r="F47" s="460"/>
      <c r="G47" s="476">
        <v>82.2</v>
      </c>
    </row>
    <row r="48" spans="1:18" hidden="1" x14ac:dyDescent="0.3">
      <c r="A48" s="369">
        <v>1996</v>
      </c>
      <c r="B48" s="386">
        <f t="shared" si="1"/>
        <v>2.203182374541E-2</v>
      </c>
      <c r="C48" s="382">
        <v>83.5</v>
      </c>
      <c r="D48" s="372"/>
      <c r="E48" s="373"/>
      <c r="F48" s="461"/>
      <c r="G48" s="477">
        <v>83.2</v>
      </c>
    </row>
    <row r="49" spans="1:19" hidden="1" x14ac:dyDescent="0.3">
      <c r="A49" s="369">
        <v>1997</v>
      </c>
      <c r="B49" s="386">
        <f t="shared" si="1"/>
        <v>1.1976047904191617E-2</v>
      </c>
      <c r="C49" s="382">
        <v>84.5</v>
      </c>
      <c r="D49" s="372"/>
      <c r="E49" s="373"/>
      <c r="F49" s="461"/>
      <c r="G49" s="477">
        <v>85.2</v>
      </c>
    </row>
    <row r="50" spans="1:19" hidden="1" x14ac:dyDescent="0.3">
      <c r="A50" s="369">
        <v>1998</v>
      </c>
      <c r="B50" s="386">
        <f t="shared" si="1"/>
        <v>1.0650887573964565E-2</v>
      </c>
      <c r="C50" s="382">
        <v>85.4</v>
      </c>
      <c r="D50" s="372"/>
      <c r="E50" s="373"/>
      <c r="F50" s="461"/>
      <c r="G50" s="477">
        <v>89.1</v>
      </c>
    </row>
    <row r="51" spans="1:19" hidden="1" x14ac:dyDescent="0.3">
      <c r="A51" s="369">
        <v>1999</v>
      </c>
      <c r="B51" s="386">
        <f t="shared" si="1"/>
        <v>9.3676814988290051E-3</v>
      </c>
      <c r="C51" s="382">
        <v>86.2</v>
      </c>
      <c r="D51" s="372"/>
      <c r="E51" s="373"/>
      <c r="F51" s="461"/>
      <c r="G51" s="477">
        <v>92.3</v>
      </c>
    </row>
    <row r="52" spans="1:19" hidden="1" x14ac:dyDescent="0.3">
      <c r="A52" s="369">
        <v>2000</v>
      </c>
      <c r="B52" s="386">
        <f t="shared" si="1"/>
        <v>9.2807424593967184E-3</v>
      </c>
      <c r="C52" s="382">
        <v>87</v>
      </c>
      <c r="D52" s="372"/>
      <c r="E52" s="373"/>
      <c r="F52" s="462"/>
      <c r="G52" s="478">
        <v>93.1</v>
      </c>
    </row>
    <row r="53" spans="1:19" hidden="1" x14ac:dyDescent="0.3">
      <c r="A53" s="369">
        <v>2001</v>
      </c>
      <c r="B53" s="386">
        <f t="shared" si="1"/>
        <v>1.6091954022988571E-2</v>
      </c>
      <c r="C53" s="382">
        <v>88.4</v>
      </c>
      <c r="D53" s="372"/>
      <c r="E53" s="373"/>
      <c r="F53" s="461"/>
      <c r="G53" s="477">
        <v>94.7</v>
      </c>
      <c r="I53" s="485"/>
      <c r="J53" s="485"/>
      <c r="K53" s="485"/>
      <c r="L53" s="485"/>
      <c r="M53" s="486"/>
      <c r="N53" s="485"/>
      <c r="O53" s="485"/>
      <c r="P53" s="485"/>
      <c r="Q53" s="485"/>
      <c r="R53" s="485"/>
      <c r="S53" s="485"/>
    </row>
    <row r="54" spans="1:19" hidden="1" x14ac:dyDescent="0.3">
      <c r="A54" s="369">
        <v>2002</v>
      </c>
      <c r="B54" s="386">
        <f t="shared" si="1"/>
        <v>2.1493212669683161E-2</v>
      </c>
      <c r="C54" s="382">
        <v>90.3</v>
      </c>
      <c r="D54" s="372"/>
      <c r="E54" s="373"/>
      <c r="F54" s="461"/>
      <c r="G54" s="477">
        <v>96</v>
      </c>
      <c r="I54" s="485"/>
      <c r="J54" s="485"/>
      <c r="K54" s="485"/>
      <c r="L54" s="485"/>
      <c r="M54" s="486"/>
      <c r="N54" s="485"/>
      <c r="O54" s="485"/>
      <c r="P54" s="485"/>
      <c r="Q54" s="485"/>
      <c r="R54" s="485"/>
      <c r="S54" s="485"/>
    </row>
    <row r="55" spans="1:19" hidden="1" x14ac:dyDescent="0.3">
      <c r="A55" s="374">
        <v>2003</v>
      </c>
      <c r="B55" s="386">
        <f t="shared" si="1"/>
        <v>2.1040974529346685E-2</v>
      </c>
      <c r="C55" s="383">
        <v>92.2</v>
      </c>
      <c r="D55" s="372"/>
      <c r="E55" s="373"/>
      <c r="F55" s="461"/>
      <c r="G55" s="477">
        <v>98.2</v>
      </c>
      <c r="I55" s="485"/>
      <c r="J55" s="485"/>
      <c r="K55" s="485"/>
      <c r="L55" s="485"/>
      <c r="M55" s="485"/>
      <c r="N55" s="485"/>
      <c r="O55" s="485"/>
      <c r="P55" s="485"/>
      <c r="Q55" s="485"/>
      <c r="R55" s="485"/>
      <c r="S55" s="485"/>
    </row>
    <row r="56" spans="1:19" ht="15" hidden="1" thickBot="1" x14ac:dyDescent="0.35">
      <c r="A56" s="374">
        <v>2004</v>
      </c>
      <c r="B56" s="386">
        <f t="shared" si="1"/>
        <v>5.0976138828633437E-2</v>
      </c>
      <c r="C56" s="383">
        <v>96.9</v>
      </c>
      <c r="D56" s="372"/>
      <c r="E56" s="373"/>
      <c r="F56" s="461"/>
      <c r="G56" s="477">
        <v>99.2</v>
      </c>
      <c r="I56" s="487"/>
      <c r="J56" s="485"/>
      <c r="K56" s="485"/>
      <c r="L56" s="485"/>
      <c r="M56" s="485"/>
      <c r="N56" s="487"/>
      <c r="O56" s="485"/>
      <c r="P56" s="485"/>
      <c r="Q56" s="485"/>
      <c r="R56" s="485"/>
      <c r="S56" s="485"/>
    </row>
    <row r="57" spans="1:19" hidden="1" x14ac:dyDescent="0.3">
      <c r="A57" s="384">
        <v>2005</v>
      </c>
      <c r="B57" s="387">
        <v>3.1991744066047413E-2</v>
      </c>
      <c r="C57" s="481">
        <v>100</v>
      </c>
      <c r="D57" s="372"/>
      <c r="E57" s="381">
        <v>87.391020163202199</v>
      </c>
      <c r="F57" s="471"/>
      <c r="G57" s="479">
        <v>100</v>
      </c>
      <c r="I57" s="488"/>
      <c r="J57" s="485"/>
      <c r="K57" s="485"/>
      <c r="L57" s="485"/>
      <c r="M57" s="488"/>
      <c r="N57" s="488"/>
      <c r="O57" s="485"/>
      <c r="P57" s="488"/>
      <c r="Q57" s="485"/>
      <c r="R57" s="488"/>
      <c r="S57" s="488"/>
    </row>
    <row r="58" spans="1:19" hidden="1" x14ac:dyDescent="0.3">
      <c r="A58" s="374">
        <v>2006</v>
      </c>
      <c r="B58" s="386">
        <v>1.2999999999999972E-2</v>
      </c>
      <c r="C58" s="477">
        <v>101.3</v>
      </c>
      <c r="D58" s="385">
        <v>1.1699216907255542E-2</v>
      </c>
      <c r="E58" s="381">
        <v>88.560941853927744</v>
      </c>
      <c r="F58" s="369"/>
      <c r="G58" s="477">
        <v>100.9</v>
      </c>
      <c r="I58" s="488"/>
      <c r="J58" s="485"/>
      <c r="K58" s="485"/>
      <c r="L58" s="485"/>
      <c r="M58" s="488"/>
      <c r="N58" s="488"/>
      <c r="O58" s="485"/>
      <c r="P58" s="488"/>
      <c r="Q58" s="485"/>
      <c r="R58" s="488"/>
      <c r="S58" s="488"/>
    </row>
    <row r="59" spans="1:19" hidden="1" x14ac:dyDescent="0.3">
      <c r="A59" s="369">
        <v>2007</v>
      </c>
      <c r="B59" s="386">
        <v>2.5666337611056352E-2</v>
      </c>
      <c r="C59" s="482">
        <v>103.9</v>
      </c>
      <c r="D59" s="385">
        <v>2.4806490720880214E-2</v>
      </c>
      <c r="E59" s="381">
        <v>91.041590926015772</v>
      </c>
      <c r="F59" s="369"/>
      <c r="G59" s="477">
        <v>102.7</v>
      </c>
      <c r="I59" s="488"/>
      <c r="J59" s="485"/>
      <c r="K59" s="485"/>
      <c r="L59" s="485"/>
      <c r="M59" s="488"/>
      <c r="N59" s="488"/>
      <c r="O59" s="485"/>
      <c r="P59" s="488"/>
      <c r="Q59" s="485"/>
      <c r="R59" s="488"/>
      <c r="S59" s="488"/>
    </row>
    <row r="60" spans="1:19" ht="15" hidden="1" thickBot="1" x14ac:dyDescent="0.35">
      <c r="A60" s="374">
        <v>2008</v>
      </c>
      <c r="B60" s="386">
        <v>4.8123195380173241E-2</v>
      </c>
      <c r="C60" s="477">
        <v>108.9</v>
      </c>
      <c r="D60" s="385">
        <v>4.4772044772045029E-2</v>
      </c>
      <c r="E60" s="381">
        <v>95.518795403220267</v>
      </c>
      <c r="F60" s="463"/>
      <c r="G60" s="480">
        <v>105.8</v>
      </c>
      <c r="I60" s="488"/>
      <c r="J60" s="485"/>
      <c r="K60" s="485"/>
      <c r="L60" s="485"/>
      <c r="M60" s="488"/>
      <c r="N60" s="488"/>
      <c r="O60" s="485"/>
      <c r="P60" s="488"/>
      <c r="Q60" s="485"/>
      <c r="R60" s="488"/>
      <c r="S60" s="488"/>
    </row>
    <row r="61" spans="1:19" hidden="1" x14ac:dyDescent="0.3">
      <c r="A61" s="369">
        <v>2009</v>
      </c>
      <c r="B61" s="386">
        <v>3.7649219467401233E-2</v>
      </c>
      <c r="C61" s="482">
        <v>113</v>
      </c>
      <c r="D61" s="385">
        <v>3.6407978399093863E-2</v>
      </c>
      <c r="E61" s="381">
        <v>99.159593243129649</v>
      </c>
      <c r="F61" s="461"/>
      <c r="G61" s="477">
        <v>92.3</v>
      </c>
      <c r="I61" s="488"/>
      <c r="J61" s="485"/>
      <c r="K61" s="485"/>
      <c r="L61" s="485"/>
      <c r="M61" s="488"/>
      <c r="N61" s="488"/>
      <c r="O61" s="485"/>
      <c r="P61" s="488"/>
      <c r="Q61" s="485"/>
      <c r="R61" s="488"/>
      <c r="S61" s="488"/>
    </row>
    <row r="62" spans="1:19" hidden="1" x14ac:dyDescent="0.3">
      <c r="A62" s="376">
        <v>2010</v>
      </c>
      <c r="B62" s="464">
        <v>5.3097345132742859E-3</v>
      </c>
      <c r="C62" s="484">
        <v>113.6</v>
      </c>
      <c r="D62" s="465">
        <v>8.4040675687034935E-3</v>
      </c>
      <c r="E62" s="466">
        <v>100</v>
      </c>
      <c r="F62" s="462"/>
      <c r="G62" s="478">
        <v>93.1</v>
      </c>
      <c r="I62" s="488"/>
      <c r="J62" s="485"/>
      <c r="K62" s="485"/>
      <c r="L62" s="485"/>
      <c r="M62" s="488"/>
      <c r="N62" s="488"/>
      <c r="O62" s="485"/>
      <c r="P62" s="488"/>
      <c r="Q62" s="485"/>
      <c r="R62" s="488"/>
      <c r="S62" s="488"/>
    </row>
    <row r="63" spans="1:19" hidden="1" x14ac:dyDescent="0.3">
      <c r="A63" s="369">
        <v>2011</v>
      </c>
      <c r="B63" s="386">
        <v>1.7605633802816902E-2</v>
      </c>
      <c r="C63" s="482">
        <v>115.6</v>
      </c>
      <c r="D63" s="385">
        <v>1.6751395949662441E-2</v>
      </c>
      <c r="E63" s="381">
        <v>101.67513959496624</v>
      </c>
      <c r="F63" s="461"/>
      <c r="G63" s="477">
        <v>94.7</v>
      </c>
      <c r="I63" s="488"/>
      <c r="J63" s="485"/>
      <c r="K63" s="485"/>
      <c r="L63" s="485"/>
      <c r="M63" s="488"/>
      <c r="N63" s="488"/>
      <c r="O63" s="485"/>
      <c r="P63" s="488"/>
      <c r="Q63" s="485"/>
      <c r="R63" s="488"/>
      <c r="S63" s="488"/>
    </row>
    <row r="64" spans="1:19" ht="15" hidden="1" thickBot="1" x14ac:dyDescent="0.35">
      <c r="A64" s="369">
        <v>2012</v>
      </c>
      <c r="B64" s="386">
        <v>1.3840830449827065E-2</v>
      </c>
      <c r="C64" s="483">
        <v>117.2</v>
      </c>
      <c r="D64" s="385">
        <v>1.4344262295082059E-2</v>
      </c>
      <c r="E64" s="381">
        <v>103.10956582447443</v>
      </c>
      <c r="F64" s="461"/>
      <c r="G64" s="477">
        <v>96</v>
      </c>
      <c r="I64" s="488"/>
      <c r="J64" s="485"/>
      <c r="K64" s="485"/>
      <c r="L64" s="485"/>
      <c r="M64" s="488"/>
      <c r="N64" s="488"/>
      <c r="O64" s="485"/>
      <c r="P64" s="488"/>
      <c r="Q64" s="485"/>
      <c r="R64" s="488"/>
      <c r="S64" s="488"/>
    </row>
    <row r="65" spans="1:19" hidden="1" x14ac:dyDescent="0.3">
      <c r="A65" s="369">
        <v>2013</v>
      </c>
      <c r="B65" s="454">
        <v>2.4496245733788488E-2</v>
      </c>
      <c r="C65" s="455">
        <v>120.07096000000001</v>
      </c>
      <c r="D65" s="385">
        <v>2.3111111111111034E-2</v>
      </c>
      <c r="E65" s="381">
        <v>105.42067693558555</v>
      </c>
      <c r="F65" s="461"/>
      <c r="G65" s="477">
        <v>98.2</v>
      </c>
      <c r="I65" s="488"/>
      <c r="J65" s="485"/>
      <c r="K65" s="485"/>
      <c r="L65" s="485"/>
      <c r="M65" s="488"/>
      <c r="N65" s="488"/>
      <c r="O65" s="485"/>
      <c r="P65" s="488"/>
      <c r="Q65" s="485"/>
      <c r="R65" s="488"/>
      <c r="S65" s="488"/>
    </row>
    <row r="66" spans="1:19" hidden="1" x14ac:dyDescent="0.3">
      <c r="A66" s="369">
        <v>2014</v>
      </c>
      <c r="B66" s="454">
        <v>1.0388023881877812E-2</v>
      </c>
      <c r="C66" s="455">
        <v>121.31826000000001</v>
      </c>
      <c r="D66" s="385">
        <v>9.4771758016111204E-3</v>
      </c>
      <c r="E66" s="381">
        <v>106.36839451574667</v>
      </c>
      <c r="F66" s="461"/>
      <c r="G66" s="477">
        <v>99.2</v>
      </c>
      <c r="I66" s="488"/>
      <c r="J66" s="485"/>
      <c r="K66" s="485"/>
      <c r="L66" s="485"/>
      <c r="M66" s="488"/>
      <c r="N66" s="488"/>
      <c r="O66" s="485"/>
      <c r="P66" s="488"/>
      <c r="Q66" s="485"/>
      <c r="R66" s="488"/>
      <c r="S66" s="488"/>
    </row>
    <row r="67" spans="1:19" hidden="1" x14ac:dyDescent="0.3">
      <c r="A67" s="458">
        <v>2015</v>
      </c>
      <c r="B67" s="467">
        <v>8.2249778392798935E-3</v>
      </c>
      <c r="C67" s="468">
        <v>122.31610000000001</v>
      </c>
      <c r="D67" s="469">
        <v>6.5006187678698143E-3</v>
      </c>
      <c r="E67" s="470">
        <v>107.01845639253365</v>
      </c>
      <c r="F67" s="471"/>
      <c r="G67" s="479">
        <v>100</v>
      </c>
      <c r="I67" s="488"/>
      <c r="J67" s="485"/>
      <c r="K67" s="485"/>
      <c r="L67" s="485"/>
      <c r="M67" s="488"/>
      <c r="N67" s="488"/>
      <c r="O67" s="485"/>
      <c r="P67" s="488"/>
      <c r="Q67" s="485"/>
      <c r="R67" s="488"/>
      <c r="S67" s="488"/>
    </row>
    <row r="68" spans="1:19" hidden="1" x14ac:dyDescent="0.3">
      <c r="A68" s="369">
        <v>2016</v>
      </c>
      <c r="B68" s="454">
        <v>9.1776143941804077E-3</v>
      </c>
      <c r="C68" s="455">
        <v>123.43867000000002</v>
      </c>
      <c r="D68" s="370"/>
      <c r="E68" s="375"/>
      <c r="F68" s="369"/>
      <c r="G68" s="477">
        <v>100.9</v>
      </c>
      <c r="I68" s="488"/>
      <c r="J68" s="485"/>
      <c r="K68" s="485"/>
      <c r="L68" s="485"/>
      <c r="M68" s="488"/>
      <c r="N68" s="488"/>
      <c r="O68" s="485"/>
      <c r="P68" s="488"/>
      <c r="Q68" s="485"/>
      <c r="R68" s="488"/>
      <c r="S68" s="488"/>
    </row>
    <row r="69" spans="1:19" hidden="1" x14ac:dyDescent="0.3">
      <c r="A69" s="369">
        <v>2017</v>
      </c>
      <c r="B69" s="454">
        <v>1.8188303551877155E-2</v>
      </c>
      <c r="C69" s="455">
        <v>125.68381000000001</v>
      </c>
      <c r="D69" s="370"/>
      <c r="E69" s="375"/>
      <c r="F69" s="369"/>
      <c r="G69" s="477">
        <v>102.7</v>
      </c>
      <c r="I69" s="488"/>
      <c r="J69" s="485"/>
      <c r="K69" s="485"/>
      <c r="L69" s="485"/>
      <c r="M69" s="488"/>
      <c r="N69" s="488"/>
      <c r="O69" s="485"/>
      <c r="P69" s="488"/>
      <c r="Q69" s="485"/>
      <c r="R69" s="488"/>
      <c r="S69" s="489"/>
    </row>
    <row r="70" spans="1:19" ht="15" hidden="1" thickBot="1" x14ac:dyDescent="0.35">
      <c r="A70" s="377">
        <v>2018</v>
      </c>
      <c r="B70" s="475">
        <v>3.076474209367119E-2</v>
      </c>
      <c r="C70" s="474">
        <v>129.55043999999998</v>
      </c>
      <c r="D70" s="378"/>
      <c r="E70" s="379"/>
      <c r="F70" s="463"/>
      <c r="G70" s="480">
        <v>105.8</v>
      </c>
      <c r="I70" s="488"/>
      <c r="J70" s="485"/>
      <c r="K70" s="485"/>
      <c r="L70" s="485"/>
      <c r="M70" s="488"/>
      <c r="N70" s="488"/>
      <c r="O70" s="485"/>
      <c r="P70" s="488"/>
      <c r="Q70" s="485"/>
      <c r="R70" s="488"/>
      <c r="S70" s="485"/>
    </row>
    <row r="71" spans="1:19" hidden="1" x14ac:dyDescent="0.3">
      <c r="A71" s="587">
        <v>2019</v>
      </c>
      <c r="B71" s="588">
        <v>2.2384891166714823E-2</v>
      </c>
      <c r="C71" s="589">
        <v>132.4504125</v>
      </c>
      <c r="D71" s="590"/>
      <c r="E71" s="668"/>
      <c r="F71" s="577"/>
      <c r="G71" s="580">
        <v>108.125</v>
      </c>
      <c r="I71" s="485"/>
      <c r="J71" s="485"/>
      <c r="K71" s="485"/>
      <c r="L71" s="485"/>
      <c r="M71" s="485"/>
      <c r="N71" s="485"/>
      <c r="O71" s="485"/>
      <c r="P71" s="485"/>
      <c r="Q71" s="485"/>
      <c r="R71" s="485"/>
      <c r="S71" s="485"/>
    </row>
    <row r="72" spans="1:19" hidden="1" x14ac:dyDescent="0.3">
      <c r="A72" s="374">
        <v>2020</v>
      </c>
      <c r="B72" s="586">
        <v>1.5930609754298101E-2</v>
      </c>
      <c r="C72" s="585">
        <v>134.56042833333331</v>
      </c>
      <c r="D72" s="574"/>
      <c r="E72" s="669"/>
      <c r="F72" s="578"/>
      <c r="G72" s="482">
        <v>109.81666666666665</v>
      </c>
      <c r="I72" s="485"/>
      <c r="J72" s="485"/>
      <c r="K72" s="485"/>
      <c r="L72" s="485"/>
      <c r="M72" s="485"/>
      <c r="N72" s="485"/>
      <c r="O72" s="485"/>
      <c r="P72" s="485"/>
      <c r="Q72" s="485"/>
      <c r="R72" s="485"/>
      <c r="S72" s="485"/>
    </row>
    <row r="73" spans="1:19" hidden="1" x14ac:dyDescent="0.3">
      <c r="A73" s="374">
        <v>2021</v>
      </c>
      <c r="B73" s="586">
        <v>2.8426286841610891E-2</v>
      </c>
      <c r="C73" s="585">
        <v>138.38548166666666</v>
      </c>
      <c r="D73" s="574"/>
      <c r="E73" s="669"/>
      <c r="F73" s="578"/>
      <c r="G73" s="482">
        <v>112.88333333333334</v>
      </c>
    </row>
    <row r="74" spans="1:19" hidden="1" x14ac:dyDescent="0.3">
      <c r="A74" s="374">
        <v>2022</v>
      </c>
      <c r="B74" s="586">
        <v>7.4884908748074352E-2</v>
      </c>
      <c r="C74" s="585">
        <v>148.74846583333331</v>
      </c>
      <c r="D74" s="574"/>
      <c r="E74" s="669"/>
      <c r="F74" s="578"/>
      <c r="G74" s="482">
        <v>121.19166666666666</v>
      </c>
    </row>
    <row r="75" spans="1:19" hidden="1" x14ac:dyDescent="0.3">
      <c r="A75" s="374">
        <v>2023</v>
      </c>
      <c r="B75" s="586">
        <v>7.4209874623973146E-2</v>
      </c>
      <c r="C75" s="585">
        <v>159.78707083333333</v>
      </c>
      <c r="D75" s="574"/>
      <c r="E75" s="669"/>
      <c r="F75" s="578"/>
      <c r="G75" s="482">
        <v>130.04166666666666</v>
      </c>
    </row>
    <row r="76" spans="1:19" ht="15" hidden="1" thickBot="1" x14ac:dyDescent="0.35">
      <c r="A76" s="575">
        <v>2024</v>
      </c>
      <c r="B76" s="667">
        <v>1.33258069977868E-3</v>
      </c>
      <c r="C76" s="584">
        <v>160</v>
      </c>
      <c r="D76" s="576"/>
      <c r="E76" s="670"/>
      <c r="F76" s="579"/>
      <c r="G76" s="483"/>
    </row>
    <row r="77" spans="1:19" hidden="1" x14ac:dyDescent="0.3"/>
    <row r="78" spans="1:19" hidden="1" x14ac:dyDescent="0.3"/>
    <row r="79" spans="1:19" hidden="1" x14ac:dyDescent="0.3"/>
    <row r="80" spans="1:19" hidden="1" x14ac:dyDescent="0.3"/>
    <row r="81" hidden="1" x14ac:dyDescent="0.3"/>
    <row r="82" hidden="1" x14ac:dyDescent="0.3"/>
    <row r="83" hidden="1" x14ac:dyDescent="0.3"/>
    <row r="84" hidden="1" x14ac:dyDescent="0.3"/>
    <row r="85" hidden="1" x14ac:dyDescent="0.3"/>
    <row r="86" hidden="1" x14ac:dyDescent="0.3"/>
    <row r="87" hidden="1" x14ac:dyDescent="0.3"/>
    <row r="88" hidden="1" x14ac:dyDescent="0.3"/>
    <row r="89" hidden="1" x14ac:dyDescent="0.3"/>
    <row r="90" hidden="1" x14ac:dyDescent="0.3"/>
    <row r="91" hidden="1" x14ac:dyDescent="0.3"/>
    <row r="92" hidden="1" x14ac:dyDescent="0.3"/>
    <row r="93" hidden="1" x14ac:dyDescent="0.3"/>
    <row r="94" hidden="1" x14ac:dyDescent="0.3"/>
    <row r="95" hidden="1" x14ac:dyDescent="0.3"/>
    <row r="96" hidden="1" x14ac:dyDescent="0.3"/>
    <row r="97" hidden="1" x14ac:dyDescent="0.3"/>
    <row r="98" hidden="1" x14ac:dyDescent="0.3"/>
    <row r="99" hidden="1" x14ac:dyDescent="0.3"/>
  </sheetData>
  <sheetProtection algorithmName="SHA-512" hashValue="SyItV2XMpoIPMkpkqJ7sT7BLMbELBpcbqcBKfAA1f9BjYONIv4IV6mMiLrdR7g9c+OZW14FXa17ULlVXpHBHmw==" saltValue="M2wQ17mp7XBMH2G1TJVl2g==" spinCount="100000" sheet="1" objects="1" scenarios="1"/>
  <mergeCells count="8">
    <mergeCell ref="S10:V10"/>
    <mergeCell ref="B19:C19"/>
    <mergeCell ref="D19:E19"/>
    <mergeCell ref="C9:E9"/>
    <mergeCell ref="G9:I9"/>
    <mergeCell ref="K10:N10"/>
    <mergeCell ref="O10:R10"/>
    <mergeCell ref="F19:G19"/>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W228"/>
  <sheetViews>
    <sheetView tabSelected="1" zoomScale="80" zoomScaleNormal="80" workbookViewId="0">
      <selection activeCell="J7" sqref="J7:L7"/>
    </sheetView>
  </sheetViews>
  <sheetFormatPr baseColWidth="10" defaultRowHeight="14.4" x14ac:dyDescent="0.3"/>
  <cols>
    <col min="1" max="1" width="64.44140625" style="2" customWidth="1"/>
    <col min="2" max="11" width="7.6640625" style="2" customWidth="1"/>
    <col min="12" max="12" width="8.5546875" style="2" customWidth="1"/>
    <col min="13" max="13" width="7.6640625" style="2" customWidth="1"/>
    <col min="14" max="14" width="7.44140625" style="2" customWidth="1"/>
    <col min="15" max="15" width="9.6640625" style="2" customWidth="1"/>
    <col min="16" max="16" width="4.6640625" style="2" customWidth="1"/>
    <col min="17" max="17" width="12.6640625" style="3" customWidth="1"/>
    <col min="18" max="18" width="15.6640625" style="3" customWidth="1"/>
    <col min="19" max="19" width="5.6640625" style="2" customWidth="1"/>
    <col min="20" max="20" width="6.6640625" style="569" customWidth="1"/>
    <col min="21" max="21" width="28.109375" style="2" customWidth="1"/>
    <col min="22" max="22" width="28.6640625" style="2" customWidth="1"/>
    <col min="23" max="23" width="28.5546875" style="2" customWidth="1"/>
    <col min="24" max="24" width="5.5546875" style="4" customWidth="1"/>
    <col min="25" max="25" width="6.6640625" style="4" customWidth="1"/>
    <col min="26" max="26" width="19.6640625" style="4" customWidth="1"/>
    <col min="27" max="27" width="24.6640625" style="4" customWidth="1"/>
    <col min="28" max="28" width="23.6640625" style="4" customWidth="1"/>
    <col min="29" max="43" width="11.44140625" style="4" customWidth="1"/>
    <col min="44" max="46" width="11.44140625" style="560" customWidth="1"/>
    <col min="47" max="54" width="11.44140625" style="4" customWidth="1"/>
    <col min="55" max="55" width="5.77734375" style="4" customWidth="1"/>
    <col min="56" max="64" width="11.44140625" style="4" customWidth="1"/>
    <col min="65" max="65" width="24.6640625" style="4" customWidth="1"/>
    <col min="66" max="66" width="23.6640625" style="4" customWidth="1"/>
    <col min="67" max="72" width="11.44140625" style="4" customWidth="1"/>
    <col min="73" max="257" width="11.44140625" style="4"/>
    <col min="258" max="268" width="11.44140625" style="2"/>
    <col min="269" max="269" width="53.6640625" style="2" customWidth="1"/>
    <col min="270" max="279" width="6.6640625" style="2" customWidth="1"/>
    <col min="280" max="280" width="7.5546875" style="2" customWidth="1"/>
    <col min="281" max="281" width="5.6640625" style="2" customWidth="1"/>
    <col min="282" max="282" width="6.6640625" style="2" customWidth="1"/>
    <col min="283" max="283" width="9.6640625" style="2" customWidth="1"/>
    <col min="284" max="284" width="4.6640625" style="2" customWidth="1"/>
    <col min="285" max="285" width="12.6640625" style="2" customWidth="1"/>
    <col min="286" max="286" width="15.6640625" style="2" customWidth="1"/>
    <col min="287" max="287" width="5.6640625" style="2" customWidth="1"/>
    <col min="288" max="288" width="6.6640625" style="2" customWidth="1"/>
    <col min="289" max="289" width="19.6640625" style="2" customWidth="1"/>
    <col min="290" max="290" width="24.6640625" style="2" customWidth="1"/>
    <col min="291" max="291" width="23.6640625" style="2" customWidth="1"/>
    <col min="292" max="292" width="4.6640625" style="2" customWidth="1"/>
    <col min="293" max="293" width="6.6640625" style="2" customWidth="1"/>
    <col min="294" max="294" width="19.6640625" style="2" customWidth="1"/>
    <col min="295" max="295" width="24.6640625" style="2" customWidth="1"/>
    <col min="296" max="296" width="23.6640625" style="2" customWidth="1"/>
    <col min="297" max="320" width="11.44140625" style="2" customWidth="1"/>
    <col min="321" max="321" width="24.6640625" style="2" customWidth="1"/>
    <col min="322" max="322" width="23.6640625" style="2" customWidth="1"/>
    <col min="323" max="524" width="11.44140625" style="2"/>
    <col min="525" max="525" width="53.6640625" style="2" customWidth="1"/>
    <col min="526" max="535" width="6.6640625" style="2" customWidth="1"/>
    <col min="536" max="536" width="7.5546875" style="2" customWidth="1"/>
    <col min="537" max="537" width="5.6640625" style="2" customWidth="1"/>
    <col min="538" max="538" width="6.6640625" style="2" customWidth="1"/>
    <col min="539" max="539" width="9.6640625" style="2" customWidth="1"/>
    <col min="540" max="540" width="4.6640625" style="2" customWidth="1"/>
    <col min="541" max="541" width="12.6640625" style="2" customWidth="1"/>
    <col min="542" max="542" width="15.6640625" style="2" customWidth="1"/>
    <col min="543" max="543" width="5.6640625" style="2" customWidth="1"/>
    <col min="544" max="544" width="6.6640625" style="2" customWidth="1"/>
    <col min="545" max="545" width="19.6640625" style="2" customWidth="1"/>
    <col min="546" max="546" width="24.6640625" style="2" customWidth="1"/>
    <col min="547" max="547" width="23.6640625" style="2" customWidth="1"/>
    <col min="548" max="548" width="4.6640625" style="2" customWidth="1"/>
    <col min="549" max="549" width="6.6640625" style="2" customWidth="1"/>
    <col min="550" max="550" width="19.6640625" style="2" customWidth="1"/>
    <col min="551" max="551" width="24.6640625" style="2" customWidth="1"/>
    <col min="552" max="552" width="23.6640625" style="2" customWidth="1"/>
    <col min="553" max="576" width="11.44140625" style="2" customWidth="1"/>
    <col min="577" max="577" width="24.6640625" style="2" customWidth="1"/>
    <col min="578" max="578" width="23.6640625" style="2" customWidth="1"/>
    <col min="579" max="780" width="11.44140625" style="2"/>
    <col min="781" max="781" width="53.6640625" style="2" customWidth="1"/>
    <col min="782" max="791" width="6.6640625" style="2" customWidth="1"/>
    <col min="792" max="792" width="7.5546875" style="2" customWidth="1"/>
    <col min="793" max="793" width="5.6640625" style="2" customWidth="1"/>
    <col min="794" max="794" width="6.6640625" style="2" customWidth="1"/>
    <col min="795" max="795" width="9.6640625" style="2" customWidth="1"/>
    <col min="796" max="796" width="4.6640625" style="2" customWidth="1"/>
    <col min="797" max="797" width="12.6640625" style="2" customWidth="1"/>
    <col min="798" max="798" width="15.6640625" style="2" customWidth="1"/>
    <col min="799" max="799" width="5.6640625" style="2" customWidth="1"/>
    <col min="800" max="800" width="6.6640625" style="2" customWidth="1"/>
    <col min="801" max="801" width="19.6640625" style="2" customWidth="1"/>
    <col min="802" max="802" width="24.6640625" style="2" customWidth="1"/>
    <col min="803" max="803" width="23.6640625" style="2" customWidth="1"/>
    <col min="804" max="804" width="4.6640625" style="2" customWidth="1"/>
    <col min="805" max="805" width="6.6640625" style="2" customWidth="1"/>
    <col min="806" max="806" width="19.6640625" style="2" customWidth="1"/>
    <col min="807" max="807" width="24.6640625" style="2" customWidth="1"/>
    <col min="808" max="808" width="23.6640625" style="2" customWidth="1"/>
    <col min="809" max="832" width="11.44140625" style="2" customWidth="1"/>
    <col min="833" max="833" width="24.6640625" style="2" customWidth="1"/>
    <col min="834" max="834" width="23.6640625" style="2" customWidth="1"/>
    <col min="835" max="1036" width="11.44140625" style="2"/>
    <col min="1037" max="1037" width="53.6640625" style="2" customWidth="1"/>
    <col min="1038" max="1047" width="6.6640625" style="2" customWidth="1"/>
    <col min="1048" max="1048" width="7.5546875" style="2" customWidth="1"/>
    <col min="1049" max="1049" width="5.6640625" style="2" customWidth="1"/>
    <col min="1050" max="1050" width="6.6640625" style="2" customWidth="1"/>
    <col min="1051" max="1051" width="9.6640625" style="2" customWidth="1"/>
    <col min="1052" max="1052" width="4.6640625" style="2" customWidth="1"/>
    <col min="1053" max="1053" width="12.6640625" style="2" customWidth="1"/>
    <col min="1054" max="1054" width="15.6640625" style="2" customWidth="1"/>
    <col min="1055" max="1055" width="5.6640625" style="2" customWidth="1"/>
    <col min="1056" max="1056" width="6.6640625" style="2" customWidth="1"/>
    <col min="1057" max="1057" width="19.6640625" style="2" customWidth="1"/>
    <col min="1058" max="1058" width="24.6640625" style="2" customWidth="1"/>
    <col min="1059" max="1059" width="23.6640625" style="2" customWidth="1"/>
    <col min="1060" max="1060" width="4.6640625" style="2" customWidth="1"/>
    <col min="1061" max="1061" width="6.6640625" style="2" customWidth="1"/>
    <col min="1062" max="1062" width="19.6640625" style="2" customWidth="1"/>
    <col min="1063" max="1063" width="24.6640625" style="2" customWidth="1"/>
    <col min="1064" max="1064" width="23.6640625" style="2" customWidth="1"/>
    <col min="1065" max="1088" width="11.44140625" style="2" customWidth="1"/>
    <col min="1089" max="1089" width="24.6640625" style="2" customWidth="1"/>
    <col min="1090" max="1090" width="23.6640625" style="2" customWidth="1"/>
    <col min="1091" max="1292" width="11.44140625" style="2"/>
    <col min="1293" max="1293" width="53.6640625" style="2" customWidth="1"/>
    <col min="1294" max="1303" width="6.6640625" style="2" customWidth="1"/>
    <col min="1304" max="1304" width="7.5546875" style="2" customWidth="1"/>
    <col min="1305" max="1305" width="5.6640625" style="2" customWidth="1"/>
    <col min="1306" max="1306" width="6.6640625" style="2" customWidth="1"/>
    <col min="1307" max="1307" width="9.6640625" style="2" customWidth="1"/>
    <col min="1308" max="1308" width="4.6640625" style="2" customWidth="1"/>
    <col min="1309" max="1309" width="12.6640625" style="2" customWidth="1"/>
    <col min="1310" max="1310" width="15.6640625" style="2" customWidth="1"/>
    <col min="1311" max="1311" width="5.6640625" style="2" customWidth="1"/>
    <col min="1312" max="1312" width="6.6640625" style="2" customWidth="1"/>
    <col min="1313" max="1313" width="19.6640625" style="2" customWidth="1"/>
    <col min="1314" max="1314" width="24.6640625" style="2" customWidth="1"/>
    <col min="1315" max="1315" width="23.6640625" style="2" customWidth="1"/>
    <col min="1316" max="1316" width="4.6640625" style="2" customWidth="1"/>
    <col min="1317" max="1317" width="6.6640625" style="2" customWidth="1"/>
    <col min="1318" max="1318" width="19.6640625" style="2" customWidth="1"/>
    <col min="1319" max="1319" width="24.6640625" style="2" customWidth="1"/>
    <col min="1320" max="1320" width="23.6640625" style="2" customWidth="1"/>
    <col min="1321" max="1344" width="11.44140625" style="2" customWidth="1"/>
    <col min="1345" max="1345" width="24.6640625" style="2" customWidth="1"/>
    <col min="1346" max="1346" width="23.6640625" style="2" customWidth="1"/>
    <col min="1347" max="1548" width="11.44140625" style="2"/>
    <col min="1549" max="1549" width="53.6640625" style="2" customWidth="1"/>
    <col min="1550" max="1559" width="6.6640625" style="2" customWidth="1"/>
    <col min="1560" max="1560" width="7.5546875" style="2" customWidth="1"/>
    <col min="1561" max="1561" width="5.6640625" style="2" customWidth="1"/>
    <col min="1562" max="1562" width="6.6640625" style="2" customWidth="1"/>
    <col min="1563" max="1563" width="9.6640625" style="2" customWidth="1"/>
    <col min="1564" max="1564" width="4.6640625" style="2" customWidth="1"/>
    <col min="1565" max="1565" width="12.6640625" style="2" customWidth="1"/>
    <col min="1566" max="1566" width="15.6640625" style="2" customWidth="1"/>
    <col min="1567" max="1567" width="5.6640625" style="2" customWidth="1"/>
    <col min="1568" max="1568" width="6.6640625" style="2" customWidth="1"/>
    <col min="1569" max="1569" width="19.6640625" style="2" customWidth="1"/>
    <col min="1570" max="1570" width="24.6640625" style="2" customWidth="1"/>
    <col min="1571" max="1571" width="23.6640625" style="2" customWidth="1"/>
    <col min="1572" max="1572" width="4.6640625" style="2" customWidth="1"/>
    <col min="1573" max="1573" width="6.6640625" style="2" customWidth="1"/>
    <col min="1574" max="1574" width="19.6640625" style="2" customWidth="1"/>
    <col min="1575" max="1575" width="24.6640625" style="2" customWidth="1"/>
    <col min="1576" max="1576" width="23.6640625" style="2" customWidth="1"/>
    <col min="1577" max="1600" width="11.44140625" style="2" customWidth="1"/>
    <col min="1601" max="1601" width="24.6640625" style="2" customWidth="1"/>
    <col min="1602" max="1602" width="23.6640625" style="2" customWidth="1"/>
    <col min="1603" max="1804" width="11.44140625" style="2"/>
    <col min="1805" max="1805" width="53.6640625" style="2" customWidth="1"/>
    <col min="1806" max="1815" width="6.6640625" style="2" customWidth="1"/>
    <col min="1816" max="1816" width="7.5546875" style="2" customWidth="1"/>
    <col min="1817" max="1817" width="5.6640625" style="2" customWidth="1"/>
    <col min="1818" max="1818" width="6.6640625" style="2" customWidth="1"/>
    <col min="1819" max="1819" width="9.6640625" style="2" customWidth="1"/>
    <col min="1820" max="1820" width="4.6640625" style="2" customWidth="1"/>
    <col min="1821" max="1821" width="12.6640625" style="2" customWidth="1"/>
    <col min="1822" max="1822" width="15.6640625" style="2" customWidth="1"/>
    <col min="1823" max="1823" width="5.6640625" style="2" customWidth="1"/>
    <col min="1824" max="1824" width="6.6640625" style="2" customWidth="1"/>
    <col min="1825" max="1825" width="19.6640625" style="2" customWidth="1"/>
    <col min="1826" max="1826" width="24.6640625" style="2" customWidth="1"/>
    <col min="1827" max="1827" width="23.6640625" style="2" customWidth="1"/>
    <col min="1828" max="1828" width="4.6640625" style="2" customWidth="1"/>
    <col min="1829" max="1829" width="6.6640625" style="2" customWidth="1"/>
    <col min="1830" max="1830" width="19.6640625" style="2" customWidth="1"/>
    <col min="1831" max="1831" width="24.6640625" style="2" customWidth="1"/>
    <col min="1832" max="1832" width="23.6640625" style="2" customWidth="1"/>
    <col min="1833" max="1856" width="11.44140625" style="2" customWidth="1"/>
    <col min="1857" max="1857" width="24.6640625" style="2" customWidth="1"/>
    <col min="1858" max="1858" width="23.6640625" style="2" customWidth="1"/>
    <col min="1859" max="2060" width="11.44140625" style="2"/>
    <col min="2061" max="2061" width="53.6640625" style="2" customWidth="1"/>
    <col min="2062" max="2071" width="6.6640625" style="2" customWidth="1"/>
    <col min="2072" max="2072" width="7.5546875" style="2" customWidth="1"/>
    <col min="2073" max="2073" width="5.6640625" style="2" customWidth="1"/>
    <col min="2074" max="2074" width="6.6640625" style="2" customWidth="1"/>
    <col min="2075" max="2075" width="9.6640625" style="2" customWidth="1"/>
    <col min="2076" max="2076" width="4.6640625" style="2" customWidth="1"/>
    <col min="2077" max="2077" width="12.6640625" style="2" customWidth="1"/>
    <col min="2078" max="2078" width="15.6640625" style="2" customWidth="1"/>
    <col min="2079" max="2079" width="5.6640625" style="2" customWidth="1"/>
    <col min="2080" max="2080" width="6.6640625" style="2" customWidth="1"/>
    <col min="2081" max="2081" width="19.6640625" style="2" customWidth="1"/>
    <col min="2082" max="2082" width="24.6640625" style="2" customWidth="1"/>
    <col min="2083" max="2083" width="23.6640625" style="2" customWidth="1"/>
    <col min="2084" max="2084" width="4.6640625" style="2" customWidth="1"/>
    <col min="2085" max="2085" width="6.6640625" style="2" customWidth="1"/>
    <col min="2086" max="2086" width="19.6640625" style="2" customWidth="1"/>
    <col min="2087" max="2087" width="24.6640625" style="2" customWidth="1"/>
    <col min="2088" max="2088" width="23.6640625" style="2" customWidth="1"/>
    <col min="2089" max="2112" width="11.44140625" style="2" customWidth="1"/>
    <col min="2113" max="2113" width="24.6640625" style="2" customWidth="1"/>
    <col min="2114" max="2114" width="23.6640625" style="2" customWidth="1"/>
    <col min="2115" max="2316" width="11.44140625" style="2"/>
    <col min="2317" max="2317" width="53.6640625" style="2" customWidth="1"/>
    <col min="2318" max="2327" width="6.6640625" style="2" customWidth="1"/>
    <col min="2328" max="2328" width="7.5546875" style="2" customWidth="1"/>
    <col min="2329" max="2329" width="5.6640625" style="2" customWidth="1"/>
    <col min="2330" max="2330" width="6.6640625" style="2" customWidth="1"/>
    <col min="2331" max="2331" width="9.6640625" style="2" customWidth="1"/>
    <col min="2332" max="2332" width="4.6640625" style="2" customWidth="1"/>
    <col min="2333" max="2333" width="12.6640625" style="2" customWidth="1"/>
    <col min="2334" max="2334" width="15.6640625" style="2" customWidth="1"/>
    <col min="2335" max="2335" width="5.6640625" style="2" customWidth="1"/>
    <col min="2336" max="2336" width="6.6640625" style="2" customWidth="1"/>
    <col min="2337" max="2337" width="19.6640625" style="2" customWidth="1"/>
    <col min="2338" max="2338" width="24.6640625" style="2" customWidth="1"/>
    <col min="2339" max="2339" width="23.6640625" style="2" customWidth="1"/>
    <col min="2340" max="2340" width="4.6640625" style="2" customWidth="1"/>
    <col min="2341" max="2341" width="6.6640625" style="2" customWidth="1"/>
    <col min="2342" max="2342" width="19.6640625" style="2" customWidth="1"/>
    <col min="2343" max="2343" width="24.6640625" style="2" customWidth="1"/>
    <col min="2344" max="2344" width="23.6640625" style="2" customWidth="1"/>
    <col min="2345" max="2368" width="11.44140625" style="2" customWidth="1"/>
    <col min="2369" max="2369" width="24.6640625" style="2" customWidth="1"/>
    <col min="2370" max="2370" width="23.6640625" style="2" customWidth="1"/>
    <col min="2371" max="2572" width="11.44140625" style="2"/>
    <col min="2573" max="2573" width="53.6640625" style="2" customWidth="1"/>
    <col min="2574" max="2583" width="6.6640625" style="2" customWidth="1"/>
    <col min="2584" max="2584" width="7.5546875" style="2" customWidth="1"/>
    <col min="2585" max="2585" width="5.6640625" style="2" customWidth="1"/>
    <col min="2586" max="2586" width="6.6640625" style="2" customWidth="1"/>
    <col min="2587" max="2587" width="9.6640625" style="2" customWidth="1"/>
    <col min="2588" max="2588" width="4.6640625" style="2" customWidth="1"/>
    <col min="2589" max="2589" width="12.6640625" style="2" customWidth="1"/>
    <col min="2590" max="2590" width="15.6640625" style="2" customWidth="1"/>
    <col min="2591" max="2591" width="5.6640625" style="2" customWidth="1"/>
    <col min="2592" max="2592" width="6.6640625" style="2" customWidth="1"/>
    <col min="2593" max="2593" width="19.6640625" style="2" customWidth="1"/>
    <col min="2594" max="2594" width="24.6640625" style="2" customWidth="1"/>
    <col min="2595" max="2595" width="23.6640625" style="2" customWidth="1"/>
    <col min="2596" max="2596" width="4.6640625" style="2" customWidth="1"/>
    <col min="2597" max="2597" width="6.6640625" style="2" customWidth="1"/>
    <col min="2598" max="2598" width="19.6640625" style="2" customWidth="1"/>
    <col min="2599" max="2599" width="24.6640625" style="2" customWidth="1"/>
    <col min="2600" max="2600" width="23.6640625" style="2" customWidth="1"/>
    <col min="2601" max="2624" width="11.44140625" style="2" customWidth="1"/>
    <col min="2625" max="2625" width="24.6640625" style="2" customWidth="1"/>
    <col min="2626" max="2626" width="23.6640625" style="2" customWidth="1"/>
    <col min="2627" max="2828" width="11.44140625" style="2"/>
    <col min="2829" max="2829" width="53.6640625" style="2" customWidth="1"/>
    <col min="2830" max="2839" width="6.6640625" style="2" customWidth="1"/>
    <col min="2840" max="2840" width="7.5546875" style="2" customWidth="1"/>
    <col min="2841" max="2841" width="5.6640625" style="2" customWidth="1"/>
    <col min="2842" max="2842" width="6.6640625" style="2" customWidth="1"/>
    <col min="2843" max="2843" width="9.6640625" style="2" customWidth="1"/>
    <col min="2844" max="2844" width="4.6640625" style="2" customWidth="1"/>
    <col min="2845" max="2845" width="12.6640625" style="2" customWidth="1"/>
    <col min="2846" max="2846" width="15.6640625" style="2" customWidth="1"/>
    <col min="2847" max="2847" width="5.6640625" style="2" customWidth="1"/>
    <col min="2848" max="2848" width="6.6640625" style="2" customWidth="1"/>
    <col min="2849" max="2849" width="19.6640625" style="2" customWidth="1"/>
    <col min="2850" max="2850" width="24.6640625" style="2" customWidth="1"/>
    <col min="2851" max="2851" width="23.6640625" style="2" customWidth="1"/>
    <col min="2852" max="2852" width="4.6640625" style="2" customWidth="1"/>
    <col min="2853" max="2853" width="6.6640625" style="2" customWidth="1"/>
    <col min="2854" max="2854" width="19.6640625" style="2" customWidth="1"/>
    <col min="2855" max="2855" width="24.6640625" style="2" customWidth="1"/>
    <col min="2856" max="2856" width="23.6640625" style="2" customWidth="1"/>
    <col min="2857" max="2880" width="11.44140625" style="2" customWidth="1"/>
    <col min="2881" max="2881" width="24.6640625" style="2" customWidth="1"/>
    <col min="2882" max="2882" width="23.6640625" style="2" customWidth="1"/>
    <col min="2883" max="3084" width="11.44140625" style="2"/>
    <col min="3085" max="3085" width="53.6640625" style="2" customWidth="1"/>
    <col min="3086" max="3095" width="6.6640625" style="2" customWidth="1"/>
    <col min="3096" max="3096" width="7.5546875" style="2" customWidth="1"/>
    <col min="3097" max="3097" width="5.6640625" style="2" customWidth="1"/>
    <col min="3098" max="3098" width="6.6640625" style="2" customWidth="1"/>
    <col min="3099" max="3099" width="9.6640625" style="2" customWidth="1"/>
    <col min="3100" max="3100" width="4.6640625" style="2" customWidth="1"/>
    <col min="3101" max="3101" width="12.6640625" style="2" customWidth="1"/>
    <col min="3102" max="3102" width="15.6640625" style="2" customWidth="1"/>
    <col min="3103" max="3103" width="5.6640625" style="2" customWidth="1"/>
    <col min="3104" max="3104" width="6.6640625" style="2" customWidth="1"/>
    <col min="3105" max="3105" width="19.6640625" style="2" customWidth="1"/>
    <col min="3106" max="3106" width="24.6640625" style="2" customWidth="1"/>
    <col min="3107" max="3107" width="23.6640625" style="2" customWidth="1"/>
    <col min="3108" max="3108" width="4.6640625" style="2" customWidth="1"/>
    <col min="3109" max="3109" width="6.6640625" style="2" customWidth="1"/>
    <col min="3110" max="3110" width="19.6640625" style="2" customWidth="1"/>
    <col min="3111" max="3111" width="24.6640625" style="2" customWidth="1"/>
    <col min="3112" max="3112" width="23.6640625" style="2" customWidth="1"/>
    <col min="3113" max="3136" width="11.44140625" style="2" customWidth="1"/>
    <col min="3137" max="3137" width="24.6640625" style="2" customWidth="1"/>
    <col min="3138" max="3138" width="23.6640625" style="2" customWidth="1"/>
    <col min="3139" max="3340" width="11.44140625" style="2"/>
    <col min="3341" max="3341" width="53.6640625" style="2" customWidth="1"/>
    <col min="3342" max="3351" width="6.6640625" style="2" customWidth="1"/>
    <col min="3352" max="3352" width="7.5546875" style="2" customWidth="1"/>
    <col min="3353" max="3353" width="5.6640625" style="2" customWidth="1"/>
    <col min="3354" max="3354" width="6.6640625" style="2" customWidth="1"/>
    <col min="3355" max="3355" width="9.6640625" style="2" customWidth="1"/>
    <col min="3356" max="3356" width="4.6640625" style="2" customWidth="1"/>
    <col min="3357" max="3357" width="12.6640625" style="2" customWidth="1"/>
    <col min="3358" max="3358" width="15.6640625" style="2" customWidth="1"/>
    <col min="3359" max="3359" width="5.6640625" style="2" customWidth="1"/>
    <col min="3360" max="3360" width="6.6640625" style="2" customWidth="1"/>
    <col min="3361" max="3361" width="19.6640625" style="2" customWidth="1"/>
    <col min="3362" max="3362" width="24.6640625" style="2" customWidth="1"/>
    <col min="3363" max="3363" width="23.6640625" style="2" customWidth="1"/>
    <col min="3364" max="3364" width="4.6640625" style="2" customWidth="1"/>
    <col min="3365" max="3365" width="6.6640625" style="2" customWidth="1"/>
    <col min="3366" max="3366" width="19.6640625" style="2" customWidth="1"/>
    <col min="3367" max="3367" width="24.6640625" style="2" customWidth="1"/>
    <col min="3368" max="3368" width="23.6640625" style="2" customWidth="1"/>
    <col min="3369" max="3392" width="11.44140625" style="2" customWidth="1"/>
    <col min="3393" max="3393" width="24.6640625" style="2" customWidth="1"/>
    <col min="3394" max="3394" width="23.6640625" style="2" customWidth="1"/>
    <col min="3395" max="3596" width="11.44140625" style="2"/>
    <col min="3597" max="3597" width="53.6640625" style="2" customWidth="1"/>
    <col min="3598" max="3607" width="6.6640625" style="2" customWidth="1"/>
    <col min="3608" max="3608" width="7.5546875" style="2" customWidth="1"/>
    <col min="3609" max="3609" width="5.6640625" style="2" customWidth="1"/>
    <col min="3610" max="3610" width="6.6640625" style="2" customWidth="1"/>
    <col min="3611" max="3611" width="9.6640625" style="2" customWidth="1"/>
    <col min="3612" max="3612" width="4.6640625" style="2" customWidth="1"/>
    <col min="3613" max="3613" width="12.6640625" style="2" customWidth="1"/>
    <col min="3614" max="3614" width="15.6640625" style="2" customWidth="1"/>
    <col min="3615" max="3615" width="5.6640625" style="2" customWidth="1"/>
    <col min="3616" max="3616" width="6.6640625" style="2" customWidth="1"/>
    <col min="3617" max="3617" width="19.6640625" style="2" customWidth="1"/>
    <col min="3618" max="3618" width="24.6640625" style="2" customWidth="1"/>
    <col min="3619" max="3619" width="23.6640625" style="2" customWidth="1"/>
    <col min="3620" max="3620" width="4.6640625" style="2" customWidth="1"/>
    <col min="3621" max="3621" width="6.6640625" style="2" customWidth="1"/>
    <col min="3622" max="3622" width="19.6640625" style="2" customWidth="1"/>
    <col min="3623" max="3623" width="24.6640625" style="2" customWidth="1"/>
    <col min="3624" max="3624" width="23.6640625" style="2" customWidth="1"/>
    <col min="3625" max="3648" width="11.44140625" style="2" customWidth="1"/>
    <col min="3649" max="3649" width="24.6640625" style="2" customWidth="1"/>
    <col min="3650" max="3650" width="23.6640625" style="2" customWidth="1"/>
    <col min="3651" max="3852" width="11.44140625" style="2"/>
    <col min="3853" max="3853" width="53.6640625" style="2" customWidth="1"/>
    <col min="3854" max="3863" width="6.6640625" style="2" customWidth="1"/>
    <col min="3864" max="3864" width="7.5546875" style="2" customWidth="1"/>
    <col min="3865" max="3865" width="5.6640625" style="2" customWidth="1"/>
    <col min="3866" max="3866" width="6.6640625" style="2" customWidth="1"/>
    <col min="3867" max="3867" width="9.6640625" style="2" customWidth="1"/>
    <col min="3868" max="3868" width="4.6640625" style="2" customWidth="1"/>
    <col min="3869" max="3869" width="12.6640625" style="2" customWidth="1"/>
    <col min="3870" max="3870" width="15.6640625" style="2" customWidth="1"/>
    <col min="3871" max="3871" width="5.6640625" style="2" customWidth="1"/>
    <col min="3872" max="3872" width="6.6640625" style="2" customWidth="1"/>
    <col min="3873" max="3873" width="19.6640625" style="2" customWidth="1"/>
    <col min="3874" max="3874" width="24.6640625" style="2" customWidth="1"/>
    <col min="3875" max="3875" width="23.6640625" style="2" customWidth="1"/>
    <col min="3876" max="3876" width="4.6640625" style="2" customWidth="1"/>
    <col min="3877" max="3877" width="6.6640625" style="2" customWidth="1"/>
    <col min="3878" max="3878" width="19.6640625" style="2" customWidth="1"/>
    <col min="3879" max="3879" width="24.6640625" style="2" customWidth="1"/>
    <col min="3880" max="3880" width="23.6640625" style="2" customWidth="1"/>
    <col min="3881" max="3904" width="11.44140625" style="2" customWidth="1"/>
    <col min="3905" max="3905" width="24.6640625" style="2" customWidth="1"/>
    <col min="3906" max="3906" width="23.6640625" style="2" customWidth="1"/>
    <col min="3907" max="4108" width="11.44140625" style="2"/>
    <col min="4109" max="4109" width="53.6640625" style="2" customWidth="1"/>
    <col min="4110" max="4119" width="6.6640625" style="2" customWidth="1"/>
    <col min="4120" max="4120" width="7.5546875" style="2" customWidth="1"/>
    <col min="4121" max="4121" width="5.6640625" style="2" customWidth="1"/>
    <col min="4122" max="4122" width="6.6640625" style="2" customWidth="1"/>
    <col min="4123" max="4123" width="9.6640625" style="2" customWidth="1"/>
    <col min="4124" max="4124" width="4.6640625" style="2" customWidth="1"/>
    <col min="4125" max="4125" width="12.6640625" style="2" customWidth="1"/>
    <col min="4126" max="4126" width="15.6640625" style="2" customWidth="1"/>
    <col min="4127" max="4127" width="5.6640625" style="2" customWidth="1"/>
    <col min="4128" max="4128" width="6.6640625" style="2" customWidth="1"/>
    <col min="4129" max="4129" width="19.6640625" style="2" customWidth="1"/>
    <col min="4130" max="4130" width="24.6640625" style="2" customWidth="1"/>
    <col min="4131" max="4131" width="23.6640625" style="2" customWidth="1"/>
    <col min="4132" max="4132" width="4.6640625" style="2" customWidth="1"/>
    <col min="4133" max="4133" width="6.6640625" style="2" customWidth="1"/>
    <col min="4134" max="4134" width="19.6640625" style="2" customWidth="1"/>
    <col min="4135" max="4135" width="24.6640625" style="2" customWidth="1"/>
    <col min="4136" max="4136" width="23.6640625" style="2" customWidth="1"/>
    <col min="4137" max="4160" width="11.44140625" style="2" customWidth="1"/>
    <col min="4161" max="4161" width="24.6640625" style="2" customWidth="1"/>
    <col min="4162" max="4162" width="23.6640625" style="2" customWidth="1"/>
    <col min="4163" max="4364" width="11.44140625" style="2"/>
    <col min="4365" max="4365" width="53.6640625" style="2" customWidth="1"/>
    <col min="4366" max="4375" width="6.6640625" style="2" customWidth="1"/>
    <col min="4376" max="4376" width="7.5546875" style="2" customWidth="1"/>
    <col min="4377" max="4377" width="5.6640625" style="2" customWidth="1"/>
    <col min="4378" max="4378" width="6.6640625" style="2" customWidth="1"/>
    <col min="4379" max="4379" width="9.6640625" style="2" customWidth="1"/>
    <col min="4380" max="4380" width="4.6640625" style="2" customWidth="1"/>
    <col min="4381" max="4381" width="12.6640625" style="2" customWidth="1"/>
    <col min="4382" max="4382" width="15.6640625" style="2" customWidth="1"/>
    <col min="4383" max="4383" width="5.6640625" style="2" customWidth="1"/>
    <col min="4384" max="4384" width="6.6640625" style="2" customWidth="1"/>
    <col min="4385" max="4385" width="19.6640625" style="2" customWidth="1"/>
    <col min="4386" max="4386" width="24.6640625" style="2" customWidth="1"/>
    <col min="4387" max="4387" width="23.6640625" style="2" customWidth="1"/>
    <col min="4388" max="4388" width="4.6640625" style="2" customWidth="1"/>
    <col min="4389" max="4389" width="6.6640625" style="2" customWidth="1"/>
    <col min="4390" max="4390" width="19.6640625" style="2" customWidth="1"/>
    <col min="4391" max="4391" width="24.6640625" style="2" customWidth="1"/>
    <col min="4392" max="4392" width="23.6640625" style="2" customWidth="1"/>
    <col min="4393" max="4416" width="11.44140625" style="2" customWidth="1"/>
    <col min="4417" max="4417" width="24.6640625" style="2" customWidth="1"/>
    <col min="4418" max="4418" width="23.6640625" style="2" customWidth="1"/>
    <col min="4419" max="4620" width="11.44140625" style="2"/>
    <col min="4621" max="4621" width="53.6640625" style="2" customWidth="1"/>
    <col min="4622" max="4631" width="6.6640625" style="2" customWidth="1"/>
    <col min="4632" max="4632" width="7.5546875" style="2" customWidth="1"/>
    <col min="4633" max="4633" width="5.6640625" style="2" customWidth="1"/>
    <col min="4634" max="4634" width="6.6640625" style="2" customWidth="1"/>
    <col min="4635" max="4635" width="9.6640625" style="2" customWidth="1"/>
    <col min="4636" max="4636" width="4.6640625" style="2" customWidth="1"/>
    <col min="4637" max="4637" width="12.6640625" style="2" customWidth="1"/>
    <col min="4638" max="4638" width="15.6640625" style="2" customWidth="1"/>
    <col min="4639" max="4639" width="5.6640625" style="2" customWidth="1"/>
    <col min="4640" max="4640" width="6.6640625" style="2" customWidth="1"/>
    <col min="4641" max="4641" width="19.6640625" style="2" customWidth="1"/>
    <col min="4642" max="4642" width="24.6640625" style="2" customWidth="1"/>
    <col min="4643" max="4643" width="23.6640625" style="2" customWidth="1"/>
    <col min="4644" max="4644" width="4.6640625" style="2" customWidth="1"/>
    <col min="4645" max="4645" width="6.6640625" style="2" customWidth="1"/>
    <col min="4646" max="4646" width="19.6640625" style="2" customWidth="1"/>
    <col min="4647" max="4647" width="24.6640625" style="2" customWidth="1"/>
    <col min="4648" max="4648" width="23.6640625" style="2" customWidth="1"/>
    <col min="4649" max="4672" width="11.44140625" style="2" customWidth="1"/>
    <col min="4673" max="4673" width="24.6640625" style="2" customWidth="1"/>
    <col min="4674" max="4674" width="23.6640625" style="2" customWidth="1"/>
    <col min="4675" max="4876" width="11.44140625" style="2"/>
    <col min="4877" max="4877" width="53.6640625" style="2" customWidth="1"/>
    <col min="4878" max="4887" width="6.6640625" style="2" customWidth="1"/>
    <col min="4888" max="4888" width="7.5546875" style="2" customWidth="1"/>
    <col min="4889" max="4889" width="5.6640625" style="2" customWidth="1"/>
    <col min="4890" max="4890" width="6.6640625" style="2" customWidth="1"/>
    <col min="4891" max="4891" width="9.6640625" style="2" customWidth="1"/>
    <col min="4892" max="4892" width="4.6640625" style="2" customWidth="1"/>
    <col min="4893" max="4893" width="12.6640625" style="2" customWidth="1"/>
    <col min="4894" max="4894" width="15.6640625" style="2" customWidth="1"/>
    <col min="4895" max="4895" width="5.6640625" style="2" customWidth="1"/>
    <col min="4896" max="4896" width="6.6640625" style="2" customWidth="1"/>
    <col min="4897" max="4897" width="19.6640625" style="2" customWidth="1"/>
    <col min="4898" max="4898" width="24.6640625" style="2" customWidth="1"/>
    <col min="4899" max="4899" width="23.6640625" style="2" customWidth="1"/>
    <col min="4900" max="4900" width="4.6640625" style="2" customWidth="1"/>
    <col min="4901" max="4901" width="6.6640625" style="2" customWidth="1"/>
    <col min="4902" max="4902" width="19.6640625" style="2" customWidth="1"/>
    <col min="4903" max="4903" width="24.6640625" style="2" customWidth="1"/>
    <col min="4904" max="4904" width="23.6640625" style="2" customWidth="1"/>
    <col min="4905" max="4928" width="11.44140625" style="2" customWidth="1"/>
    <col min="4929" max="4929" width="24.6640625" style="2" customWidth="1"/>
    <col min="4930" max="4930" width="23.6640625" style="2" customWidth="1"/>
    <col min="4931" max="5132" width="11.44140625" style="2"/>
    <col min="5133" max="5133" width="53.6640625" style="2" customWidth="1"/>
    <col min="5134" max="5143" width="6.6640625" style="2" customWidth="1"/>
    <col min="5144" max="5144" width="7.5546875" style="2" customWidth="1"/>
    <col min="5145" max="5145" width="5.6640625" style="2" customWidth="1"/>
    <col min="5146" max="5146" width="6.6640625" style="2" customWidth="1"/>
    <col min="5147" max="5147" width="9.6640625" style="2" customWidth="1"/>
    <col min="5148" max="5148" width="4.6640625" style="2" customWidth="1"/>
    <col min="5149" max="5149" width="12.6640625" style="2" customWidth="1"/>
    <col min="5150" max="5150" width="15.6640625" style="2" customWidth="1"/>
    <col min="5151" max="5151" width="5.6640625" style="2" customWidth="1"/>
    <col min="5152" max="5152" width="6.6640625" style="2" customWidth="1"/>
    <col min="5153" max="5153" width="19.6640625" style="2" customWidth="1"/>
    <col min="5154" max="5154" width="24.6640625" style="2" customWidth="1"/>
    <col min="5155" max="5155" width="23.6640625" style="2" customWidth="1"/>
    <col min="5156" max="5156" width="4.6640625" style="2" customWidth="1"/>
    <col min="5157" max="5157" width="6.6640625" style="2" customWidth="1"/>
    <col min="5158" max="5158" width="19.6640625" style="2" customWidth="1"/>
    <col min="5159" max="5159" width="24.6640625" style="2" customWidth="1"/>
    <col min="5160" max="5160" width="23.6640625" style="2" customWidth="1"/>
    <col min="5161" max="5184" width="11.44140625" style="2" customWidth="1"/>
    <col min="5185" max="5185" width="24.6640625" style="2" customWidth="1"/>
    <col min="5186" max="5186" width="23.6640625" style="2" customWidth="1"/>
    <col min="5187" max="5388" width="11.44140625" style="2"/>
    <col min="5389" max="5389" width="53.6640625" style="2" customWidth="1"/>
    <col min="5390" max="5399" width="6.6640625" style="2" customWidth="1"/>
    <col min="5400" max="5400" width="7.5546875" style="2" customWidth="1"/>
    <col min="5401" max="5401" width="5.6640625" style="2" customWidth="1"/>
    <col min="5402" max="5402" width="6.6640625" style="2" customWidth="1"/>
    <col min="5403" max="5403" width="9.6640625" style="2" customWidth="1"/>
    <col min="5404" max="5404" width="4.6640625" style="2" customWidth="1"/>
    <col min="5405" max="5405" width="12.6640625" style="2" customWidth="1"/>
    <col min="5406" max="5406" width="15.6640625" style="2" customWidth="1"/>
    <col min="5407" max="5407" width="5.6640625" style="2" customWidth="1"/>
    <col min="5408" max="5408" width="6.6640625" style="2" customWidth="1"/>
    <col min="5409" max="5409" width="19.6640625" style="2" customWidth="1"/>
    <col min="5410" max="5410" width="24.6640625" style="2" customWidth="1"/>
    <col min="5411" max="5411" width="23.6640625" style="2" customWidth="1"/>
    <col min="5412" max="5412" width="4.6640625" style="2" customWidth="1"/>
    <col min="5413" max="5413" width="6.6640625" style="2" customWidth="1"/>
    <col min="5414" max="5414" width="19.6640625" style="2" customWidth="1"/>
    <col min="5415" max="5415" width="24.6640625" style="2" customWidth="1"/>
    <col min="5416" max="5416" width="23.6640625" style="2" customWidth="1"/>
    <col min="5417" max="5440" width="11.44140625" style="2" customWidth="1"/>
    <col min="5441" max="5441" width="24.6640625" style="2" customWidth="1"/>
    <col min="5442" max="5442" width="23.6640625" style="2" customWidth="1"/>
    <col min="5443" max="5644" width="11.44140625" style="2"/>
    <col min="5645" max="5645" width="53.6640625" style="2" customWidth="1"/>
    <col min="5646" max="5655" width="6.6640625" style="2" customWidth="1"/>
    <col min="5656" max="5656" width="7.5546875" style="2" customWidth="1"/>
    <col min="5657" max="5657" width="5.6640625" style="2" customWidth="1"/>
    <col min="5658" max="5658" width="6.6640625" style="2" customWidth="1"/>
    <col min="5659" max="5659" width="9.6640625" style="2" customWidth="1"/>
    <col min="5660" max="5660" width="4.6640625" style="2" customWidth="1"/>
    <col min="5661" max="5661" width="12.6640625" style="2" customWidth="1"/>
    <col min="5662" max="5662" width="15.6640625" style="2" customWidth="1"/>
    <col min="5663" max="5663" width="5.6640625" style="2" customWidth="1"/>
    <col min="5664" max="5664" width="6.6640625" style="2" customWidth="1"/>
    <col min="5665" max="5665" width="19.6640625" style="2" customWidth="1"/>
    <col min="5666" max="5666" width="24.6640625" style="2" customWidth="1"/>
    <col min="5667" max="5667" width="23.6640625" style="2" customWidth="1"/>
    <col min="5668" max="5668" width="4.6640625" style="2" customWidth="1"/>
    <col min="5669" max="5669" width="6.6640625" style="2" customWidth="1"/>
    <col min="5670" max="5670" width="19.6640625" style="2" customWidth="1"/>
    <col min="5671" max="5671" width="24.6640625" style="2" customWidth="1"/>
    <col min="5672" max="5672" width="23.6640625" style="2" customWidth="1"/>
    <col min="5673" max="5696" width="11.44140625" style="2" customWidth="1"/>
    <col min="5697" max="5697" width="24.6640625" style="2" customWidth="1"/>
    <col min="5698" max="5698" width="23.6640625" style="2" customWidth="1"/>
    <col min="5699" max="5900" width="11.44140625" style="2"/>
    <col min="5901" max="5901" width="53.6640625" style="2" customWidth="1"/>
    <col min="5902" max="5911" width="6.6640625" style="2" customWidth="1"/>
    <col min="5912" max="5912" width="7.5546875" style="2" customWidth="1"/>
    <col min="5913" max="5913" width="5.6640625" style="2" customWidth="1"/>
    <col min="5914" max="5914" width="6.6640625" style="2" customWidth="1"/>
    <col min="5915" max="5915" width="9.6640625" style="2" customWidth="1"/>
    <col min="5916" max="5916" width="4.6640625" style="2" customWidth="1"/>
    <col min="5917" max="5917" width="12.6640625" style="2" customWidth="1"/>
    <col min="5918" max="5918" width="15.6640625" style="2" customWidth="1"/>
    <col min="5919" max="5919" width="5.6640625" style="2" customWidth="1"/>
    <col min="5920" max="5920" width="6.6640625" style="2" customWidth="1"/>
    <col min="5921" max="5921" width="19.6640625" style="2" customWidth="1"/>
    <col min="5922" max="5922" width="24.6640625" style="2" customWidth="1"/>
    <col min="5923" max="5923" width="23.6640625" style="2" customWidth="1"/>
    <col min="5924" max="5924" width="4.6640625" style="2" customWidth="1"/>
    <col min="5925" max="5925" width="6.6640625" style="2" customWidth="1"/>
    <col min="5926" max="5926" width="19.6640625" style="2" customWidth="1"/>
    <col min="5927" max="5927" width="24.6640625" style="2" customWidth="1"/>
    <col min="5928" max="5928" width="23.6640625" style="2" customWidth="1"/>
    <col min="5929" max="5952" width="11.44140625" style="2" customWidth="1"/>
    <col min="5953" max="5953" width="24.6640625" style="2" customWidth="1"/>
    <col min="5954" max="5954" width="23.6640625" style="2" customWidth="1"/>
    <col min="5955" max="6156" width="11.44140625" style="2"/>
    <col min="6157" max="6157" width="53.6640625" style="2" customWidth="1"/>
    <col min="6158" max="6167" width="6.6640625" style="2" customWidth="1"/>
    <col min="6168" max="6168" width="7.5546875" style="2" customWidth="1"/>
    <col min="6169" max="6169" width="5.6640625" style="2" customWidth="1"/>
    <col min="6170" max="6170" width="6.6640625" style="2" customWidth="1"/>
    <col min="6171" max="6171" width="9.6640625" style="2" customWidth="1"/>
    <col min="6172" max="6172" width="4.6640625" style="2" customWidth="1"/>
    <col min="6173" max="6173" width="12.6640625" style="2" customWidth="1"/>
    <col min="6174" max="6174" width="15.6640625" style="2" customWidth="1"/>
    <col min="6175" max="6175" width="5.6640625" style="2" customWidth="1"/>
    <col min="6176" max="6176" width="6.6640625" style="2" customWidth="1"/>
    <col min="6177" max="6177" width="19.6640625" style="2" customWidth="1"/>
    <col min="6178" max="6178" width="24.6640625" style="2" customWidth="1"/>
    <col min="6179" max="6179" width="23.6640625" style="2" customWidth="1"/>
    <col min="6180" max="6180" width="4.6640625" style="2" customWidth="1"/>
    <col min="6181" max="6181" width="6.6640625" style="2" customWidth="1"/>
    <col min="6182" max="6182" width="19.6640625" style="2" customWidth="1"/>
    <col min="6183" max="6183" width="24.6640625" style="2" customWidth="1"/>
    <col min="6184" max="6184" width="23.6640625" style="2" customWidth="1"/>
    <col min="6185" max="6208" width="11.44140625" style="2" customWidth="1"/>
    <col min="6209" max="6209" width="24.6640625" style="2" customWidth="1"/>
    <col min="6210" max="6210" width="23.6640625" style="2" customWidth="1"/>
    <col min="6211" max="6412" width="11.44140625" style="2"/>
    <col min="6413" max="6413" width="53.6640625" style="2" customWidth="1"/>
    <col min="6414" max="6423" width="6.6640625" style="2" customWidth="1"/>
    <col min="6424" max="6424" width="7.5546875" style="2" customWidth="1"/>
    <col min="6425" max="6425" width="5.6640625" style="2" customWidth="1"/>
    <col min="6426" max="6426" width="6.6640625" style="2" customWidth="1"/>
    <col min="6427" max="6427" width="9.6640625" style="2" customWidth="1"/>
    <col min="6428" max="6428" width="4.6640625" style="2" customWidth="1"/>
    <col min="6429" max="6429" width="12.6640625" style="2" customWidth="1"/>
    <col min="6430" max="6430" width="15.6640625" style="2" customWidth="1"/>
    <col min="6431" max="6431" width="5.6640625" style="2" customWidth="1"/>
    <col min="6432" max="6432" width="6.6640625" style="2" customWidth="1"/>
    <col min="6433" max="6433" width="19.6640625" style="2" customWidth="1"/>
    <col min="6434" max="6434" width="24.6640625" style="2" customWidth="1"/>
    <col min="6435" max="6435" width="23.6640625" style="2" customWidth="1"/>
    <col min="6436" max="6436" width="4.6640625" style="2" customWidth="1"/>
    <col min="6437" max="6437" width="6.6640625" style="2" customWidth="1"/>
    <col min="6438" max="6438" width="19.6640625" style="2" customWidth="1"/>
    <col min="6439" max="6439" width="24.6640625" style="2" customWidth="1"/>
    <col min="6440" max="6440" width="23.6640625" style="2" customWidth="1"/>
    <col min="6441" max="6464" width="11.44140625" style="2" customWidth="1"/>
    <col min="6465" max="6465" width="24.6640625" style="2" customWidth="1"/>
    <col min="6466" max="6466" width="23.6640625" style="2" customWidth="1"/>
    <col min="6467" max="6668" width="11.44140625" style="2"/>
    <col min="6669" max="6669" width="53.6640625" style="2" customWidth="1"/>
    <col min="6670" max="6679" width="6.6640625" style="2" customWidth="1"/>
    <col min="6680" max="6680" width="7.5546875" style="2" customWidth="1"/>
    <col min="6681" max="6681" width="5.6640625" style="2" customWidth="1"/>
    <col min="6682" max="6682" width="6.6640625" style="2" customWidth="1"/>
    <col min="6683" max="6683" width="9.6640625" style="2" customWidth="1"/>
    <col min="6684" max="6684" width="4.6640625" style="2" customWidth="1"/>
    <col min="6685" max="6685" width="12.6640625" style="2" customWidth="1"/>
    <col min="6686" max="6686" width="15.6640625" style="2" customWidth="1"/>
    <col min="6687" max="6687" width="5.6640625" style="2" customWidth="1"/>
    <col min="6688" max="6688" width="6.6640625" style="2" customWidth="1"/>
    <col min="6689" max="6689" width="19.6640625" style="2" customWidth="1"/>
    <col min="6690" max="6690" width="24.6640625" style="2" customWidth="1"/>
    <col min="6691" max="6691" width="23.6640625" style="2" customWidth="1"/>
    <col min="6692" max="6692" width="4.6640625" style="2" customWidth="1"/>
    <col min="6693" max="6693" width="6.6640625" style="2" customWidth="1"/>
    <col min="6694" max="6694" width="19.6640625" style="2" customWidth="1"/>
    <col min="6695" max="6695" width="24.6640625" style="2" customWidth="1"/>
    <col min="6696" max="6696" width="23.6640625" style="2" customWidth="1"/>
    <col min="6697" max="6720" width="11.44140625" style="2" customWidth="1"/>
    <col min="6721" max="6721" width="24.6640625" style="2" customWidth="1"/>
    <col min="6722" max="6722" width="23.6640625" style="2" customWidth="1"/>
    <col min="6723" max="6924" width="11.44140625" style="2"/>
    <col min="6925" max="6925" width="53.6640625" style="2" customWidth="1"/>
    <col min="6926" max="6935" width="6.6640625" style="2" customWidth="1"/>
    <col min="6936" max="6936" width="7.5546875" style="2" customWidth="1"/>
    <col min="6937" max="6937" width="5.6640625" style="2" customWidth="1"/>
    <col min="6938" max="6938" width="6.6640625" style="2" customWidth="1"/>
    <col min="6939" max="6939" width="9.6640625" style="2" customWidth="1"/>
    <col min="6940" max="6940" width="4.6640625" style="2" customWidth="1"/>
    <col min="6941" max="6941" width="12.6640625" style="2" customWidth="1"/>
    <col min="6942" max="6942" width="15.6640625" style="2" customWidth="1"/>
    <col min="6943" max="6943" width="5.6640625" style="2" customWidth="1"/>
    <col min="6944" max="6944" width="6.6640625" style="2" customWidth="1"/>
    <col min="6945" max="6945" width="19.6640625" style="2" customWidth="1"/>
    <col min="6946" max="6946" width="24.6640625" style="2" customWidth="1"/>
    <col min="6947" max="6947" width="23.6640625" style="2" customWidth="1"/>
    <col min="6948" max="6948" width="4.6640625" style="2" customWidth="1"/>
    <col min="6949" max="6949" width="6.6640625" style="2" customWidth="1"/>
    <col min="6950" max="6950" width="19.6640625" style="2" customWidth="1"/>
    <col min="6951" max="6951" width="24.6640625" style="2" customWidth="1"/>
    <col min="6952" max="6952" width="23.6640625" style="2" customWidth="1"/>
    <col min="6953" max="6976" width="11.44140625" style="2" customWidth="1"/>
    <col min="6977" max="6977" width="24.6640625" style="2" customWidth="1"/>
    <col min="6978" max="6978" width="23.6640625" style="2" customWidth="1"/>
    <col min="6979" max="7180" width="11.44140625" style="2"/>
    <col min="7181" max="7181" width="53.6640625" style="2" customWidth="1"/>
    <col min="7182" max="7191" width="6.6640625" style="2" customWidth="1"/>
    <col min="7192" max="7192" width="7.5546875" style="2" customWidth="1"/>
    <col min="7193" max="7193" width="5.6640625" style="2" customWidth="1"/>
    <col min="7194" max="7194" width="6.6640625" style="2" customWidth="1"/>
    <col min="7195" max="7195" width="9.6640625" style="2" customWidth="1"/>
    <col min="7196" max="7196" width="4.6640625" style="2" customWidth="1"/>
    <col min="7197" max="7197" width="12.6640625" style="2" customWidth="1"/>
    <col min="7198" max="7198" width="15.6640625" style="2" customWidth="1"/>
    <col min="7199" max="7199" width="5.6640625" style="2" customWidth="1"/>
    <col min="7200" max="7200" width="6.6640625" style="2" customWidth="1"/>
    <col min="7201" max="7201" width="19.6640625" style="2" customWidth="1"/>
    <col min="7202" max="7202" width="24.6640625" style="2" customWidth="1"/>
    <col min="7203" max="7203" width="23.6640625" style="2" customWidth="1"/>
    <col min="7204" max="7204" width="4.6640625" style="2" customWidth="1"/>
    <col min="7205" max="7205" width="6.6640625" style="2" customWidth="1"/>
    <col min="7206" max="7206" width="19.6640625" style="2" customWidth="1"/>
    <col min="7207" max="7207" width="24.6640625" style="2" customWidth="1"/>
    <col min="7208" max="7208" width="23.6640625" style="2" customWidth="1"/>
    <col min="7209" max="7232" width="11.44140625" style="2" customWidth="1"/>
    <col min="7233" max="7233" width="24.6640625" style="2" customWidth="1"/>
    <col min="7234" max="7234" width="23.6640625" style="2" customWidth="1"/>
    <col min="7235" max="7436" width="11.44140625" style="2"/>
    <col min="7437" max="7437" width="53.6640625" style="2" customWidth="1"/>
    <col min="7438" max="7447" width="6.6640625" style="2" customWidth="1"/>
    <col min="7448" max="7448" width="7.5546875" style="2" customWidth="1"/>
    <col min="7449" max="7449" width="5.6640625" style="2" customWidth="1"/>
    <col min="7450" max="7450" width="6.6640625" style="2" customWidth="1"/>
    <col min="7451" max="7451" width="9.6640625" style="2" customWidth="1"/>
    <col min="7452" max="7452" width="4.6640625" style="2" customWidth="1"/>
    <col min="7453" max="7453" width="12.6640625" style="2" customWidth="1"/>
    <col min="7454" max="7454" width="15.6640625" style="2" customWidth="1"/>
    <col min="7455" max="7455" width="5.6640625" style="2" customWidth="1"/>
    <col min="7456" max="7456" width="6.6640625" style="2" customWidth="1"/>
    <col min="7457" max="7457" width="19.6640625" style="2" customWidth="1"/>
    <col min="7458" max="7458" width="24.6640625" style="2" customWidth="1"/>
    <col min="7459" max="7459" width="23.6640625" style="2" customWidth="1"/>
    <col min="7460" max="7460" width="4.6640625" style="2" customWidth="1"/>
    <col min="7461" max="7461" width="6.6640625" style="2" customWidth="1"/>
    <col min="7462" max="7462" width="19.6640625" style="2" customWidth="1"/>
    <col min="7463" max="7463" width="24.6640625" style="2" customWidth="1"/>
    <col min="7464" max="7464" width="23.6640625" style="2" customWidth="1"/>
    <col min="7465" max="7488" width="11.44140625" style="2" customWidth="1"/>
    <col min="7489" max="7489" width="24.6640625" style="2" customWidth="1"/>
    <col min="7490" max="7490" width="23.6640625" style="2" customWidth="1"/>
    <col min="7491" max="7692" width="11.44140625" style="2"/>
    <col min="7693" max="7693" width="53.6640625" style="2" customWidth="1"/>
    <col min="7694" max="7703" width="6.6640625" style="2" customWidth="1"/>
    <col min="7704" max="7704" width="7.5546875" style="2" customWidth="1"/>
    <col min="7705" max="7705" width="5.6640625" style="2" customWidth="1"/>
    <col min="7706" max="7706" width="6.6640625" style="2" customWidth="1"/>
    <col min="7707" max="7707" width="9.6640625" style="2" customWidth="1"/>
    <col min="7708" max="7708" width="4.6640625" style="2" customWidth="1"/>
    <col min="7709" max="7709" width="12.6640625" style="2" customWidth="1"/>
    <col min="7710" max="7710" width="15.6640625" style="2" customWidth="1"/>
    <col min="7711" max="7711" width="5.6640625" style="2" customWidth="1"/>
    <col min="7712" max="7712" width="6.6640625" style="2" customWidth="1"/>
    <col min="7713" max="7713" width="19.6640625" style="2" customWidth="1"/>
    <col min="7714" max="7714" width="24.6640625" style="2" customWidth="1"/>
    <col min="7715" max="7715" width="23.6640625" style="2" customWidth="1"/>
    <col min="7716" max="7716" width="4.6640625" style="2" customWidth="1"/>
    <col min="7717" max="7717" width="6.6640625" style="2" customWidth="1"/>
    <col min="7718" max="7718" width="19.6640625" style="2" customWidth="1"/>
    <col min="7719" max="7719" width="24.6640625" style="2" customWidth="1"/>
    <col min="7720" max="7720" width="23.6640625" style="2" customWidth="1"/>
    <col min="7721" max="7744" width="11.44140625" style="2" customWidth="1"/>
    <col min="7745" max="7745" width="24.6640625" style="2" customWidth="1"/>
    <col min="7746" max="7746" width="23.6640625" style="2" customWidth="1"/>
    <col min="7747" max="7948" width="11.44140625" style="2"/>
    <col min="7949" max="7949" width="53.6640625" style="2" customWidth="1"/>
    <col min="7950" max="7959" width="6.6640625" style="2" customWidth="1"/>
    <col min="7960" max="7960" width="7.5546875" style="2" customWidth="1"/>
    <col min="7961" max="7961" width="5.6640625" style="2" customWidth="1"/>
    <col min="7962" max="7962" width="6.6640625" style="2" customWidth="1"/>
    <col min="7963" max="7963" width="9.6640625" style="2" customWidth="1"/>
    <col min="7964" max="7964" width="4.6640625" style="2" customWidth="1"/>
    <col min="7965" max="7965" width="12.6640625" style="2" customWidth="1"/>
    <col min="7966" max="7966" width="15.6640625" style="2" customWidth="1"/>
    <col min="7967" max="7967" width="5.6640625" style="2" customWidth="1"/>
    <col min="7968" max="7968" width="6.6640625" style="2" customWidth="1"/>
    <col min="7969" max="7969" width="19.6640625" style="2" customWidth="1"/>
    <col min="7970" max="7970" width="24.6640625" style="2" customWidth="1"/>
    <col min="7971" max="7971" width="23.6640625" style="2" customWidth="1"/>
    <col min="7972" max="7972" width="4.6640625" style="2" customWidth="1"/>
    <col min="7973" max="7973" width="6.6640625" style="2" customWidth="1"/>
    <col min="7974" max="7974" width="19.6640625" style="2" customWidth="1"/>
    <col min="7975" max="7975" width="24.6640625" style="2" customWidth="1"/>
    <col min="7976" max="7976" width="23.6640625" style="2" customWidth="1"/>
    <col min="7977" max="8000" width="11.44140625" style="2" customWidth="1"/>
    <col min="8001" max="8001" width="24.6640625" style="2" customWidth="1"/>
    <col min="8002" max="8002" width="23.6640625" style="2" customWidth="1"/>
    <col min="8003" max="8204" width="11.44140625" style="2"/>
    <col min="8205" max="8205" width="53.6640625" style="2" customWidth="1"/>
    <col min="8206" max="8215" width="6.6640625" style="2" customWidth="1"/>
    <col min="8216" max="8216" width="7.5546875" style="2" customWidth="1"/>
    <col min="8217" max="8217" width="5.6640625" style="2" customWidth="1"/>
    <col min="8218" max="8218" width="6.6640625" style="2" customWidth="1"/>
    <col min="8219" max="8219" width="9.6640625" style="2" customWidth="1"/>
    <col min="8220" max="8220" width="4.6640625" style="2" customWidth="1"/>
    <col min="8221" max="8221" width="12.6640625" style="2" customWidth="1"/>
    <col min="8222" max="8222" width="15.6640625" style="2" customWidth="1"/>
    <col min="8223" max="8223" width="5.6640625" style="2" customWidth="1"/>
    <col min="8224" max="8224" width="6.6640625" style="2" customWidth="1"/>
    <col min="8225" max="8225" width="19.6640625" style="2" customWidth="1"/>
    <col min="8226" max="8226" width="24.6640625" style="2" customWidth="1"/>
    <col min="8227" max="8227" width="23.6640625" style="2" customWidth="1"/>
    <col min="8228" max="8228" width="4.6640625" style="2" customWidth="1"/>
    <col min="8229" max="8229" width="6.6640625" style="2" customWidth="1"/>
    <col min="8230" max="8230" width="19.6640625" style="2" customWidth="1"/>
    <col min="8231" max="8231" width="24.6640625" style="2" customWidth="1"/>
    <col min="8232" max="8232" width="23.6640625" style="2" customWidth="1"/>
    <col min="8233" max="8256" width="11.44140625" style="2" customWidth="1"/>
    <col min="8257" max="8257" width="24.6640625" style="2" customWidth="1"/>
    <col min="8258" max="8258" width="23.6640625" style="2" customWidth="1"/>
    <col min="8259" max="8460" width="11.44140625" style="2"/>
    <col min="8461" max="8461" width="53.6640625" style="2" customWidth="1"/>
    <col min="8462" max="8471" width="6.6640625" style="2" customWidth="1"/>
    <col min="8472" max="8472" width="7.5546875" style="2" customWidth="1"/>
    <col min="8473" max="8473" width="5.6640625" style="2" customWidth="1"/>
    <col min="8474" max="8474" width="6.6640625" style="2" customWidth="1"/>
    <col min="8475" max="8475" width="9.6640625" style="2" customWidth="1"/>
    <col min="8476" max="8476" width="4.6640625" style="2" customWidth="1"/>
    <col min="8477" max="8477" width="12.6640625" style="2" customWidth="1"/>
    <col min="8478" max="8478" width="15.6640625" style="2" customWidth="1"/>
    <col min="8479" max="8479" width="5.6640625" style="2" customWidth="1"/>
    <col min="8480" max="8480" width="6.6640625" style="2" customWidth="1"/>
    <col min="8481" max="8481" width="19.6640625" style="2" customWidth="1"/>
    <col min="8482" max="8482" width="24.6640625" style="2" customWidth="1"/>
    <col min="8483" max="8483" width="23.6640625" style="2" customWidth="1"/>
    <col min="8484" max="8484" width="4.6640625" style="2" customWidth="1"/>
    <col min="8485" max="8485" width="6.6640625" style="2" customWidth="1"/>
    <col min="8486" max="8486" width="19.6640625" style="2" customWidth="1"/>
    <col min="8487" max="8487" width="24.6640625" style="2" customWidth="1"/>
    <col min="8488" max="8488" width="23.6640625" style="2" customWidth="1"/>
    <col min="8489" max="8512" width="11.44140625" style="2" customWidth="1"/>
    <col min="8513" max="8513" width="24.6640625" style="2" customWidth="1"/>
    <col min="8514" max="8514" width="23.6640625" style="2" customWidth="1"/>
    <col min="8515" max="8716" width="11.44140625" style="2"/>
    <col min="8717" max="8717" width="53.6640625" style="2" customWidth="1"/>
    <col min="8718" max="8727" width="6.6640625" style="2" customWidth="1"/>
    <col min="8728" max="8728" width="7.5546875" style="2" customWidth="1"/>
    <col min="8729" max="8729" width="5.6640625" style="2" customWidth="1"/>
    <col min="8730" max="8730" width="6.6640625" style="2" customWidth="1"/>
    <col min="8731" max="8731" width="9.6640625" style="2" customWidth="1"/>
    <col min="8732" max="8732" width="4.6640625" style="2" customWidth="1"/>
    <col min="8733" max="8733" width="12.6640625" style="2" customWidth="1"/>
    <col min="8734" max="8734" width="15.6640625" style="2" customWidth="1"/>
    <col min="8735" max="8735" width="5.6640625" style="2" customWidth="1"/>
    <col min="8736" max="8736" width="6.6640625" style="2" customWidth="1"/>
    <col min="8737" max="8737" width="19.6640625" style="2" customWidth="1"/>
    <col min="8738" max="8738" width="24.6640625" style="2" customWidth="1"/>
    <col min="8739" max="8739" width="23.6640625" style="2" customWidth="1"/>
    <col min="8740" max="8740" width="4.6640625" style="2" customWidth="1"/>
    <col min="8741" max="8741" width="6.6640625" style="2" customWidth="1"/>
    <col min="8742" max="8742" width="19.6640625" style="2" customWidth="1"/>
    <col min="8743" max="8743" width="24.6640625" style="2" customWidth="1"/>
    <col min="8744" max="8744" width="23.6640625" style="2" customWidth="1"/>
    <col min="8745" max="8768" width="11.44140625" style="2" customWidth="1"/>
    <col min="8769" max="8769" width="24.6640625" style="2" customWidth="1"/>
    <col min="8770" max="8770" width="23.6640625" style="2" customWidth="1"/>
    <col min="8771" max="8972" width="11.44140625" style="2"/>
    <col min="8973" max="8973" width="53.6640625" style="2" customWidth="1"/>
    <col min="8974" max="8983" width="6.6640625" style="2" customWidth="1"/>
    <col min="8984" max="8984" width="7.5546875" style="2" customWidth="1"/>
    <col min="8985" max="8985" width="5.6640625" style="2" customWidth="1"/>
    <col min="8986" max="8986" width="6.6640625" style="2" customWidth="1"/>
    <col min="8987" max="8987" width="9.6640625" style="2" customWidth="1"/>
    <col min="8988" max="8988" width="4.6640625" style="2" customWidth="1"/>
    <col min="8989" max="8989" width="12.6640625" style="2" customWidth="1"/>
    <col min="8990" max="8990" width="15.6640625" style="2" customWidth="1"/>
    <col min="8991" max="8991" width="5.6640625" style="2" customWidth="1"/>
    <col min="8992" max="8992" width="6.6640625" style="2" customWidth="1"/>
    <col min="8993" max="8993" width="19.6640625" style="2" customWidth="1"/>
    <col min="8994" max="8994" width="24.6640625" style="2" customWidth="1"/>
    <col min="8995" max="8995" width="23.6640625" style="2" customWidth="1"/>
    <col min="8996" max="8996" width="4.6640625" style="2" customWidth="1"/>
    <col min="8997" max="8997" width="6.6640625" style="2" customWidth="1"/>
    <col min="8998" max="8998" width="19.6640625" style="2" customWidth="1"/>
    <col min="8999" max="8999" width="24.6640625" style="2" customWidth="1"/>
    <col min="9000" max="9000" width="23.6640625" style="2" customWidth="1"/>
    <col min="9001" max="9024" width="11.44140625" style="2" customWidth="1"/>
    <col min="9025" max="9025" width="24.6640625" style="2" customWidth="1"/>
    <col min="9026" max="9026" width="23.6640625" style="2" customWidth="1"/>
    <col min="9027" max="9228" width="11.44140625" style="2"/>
    <col min="9229" max="9229" width="53.6640625" style="2" customWidth="1"/>
    <col min="9230" max="9239" width="6.6640625" style="2" customWidth="1"/>
    <col min="9240" max="9240" width="7.5546875" style="2" customWidth="1"/>
    <col min="9241" max="9241" width="5.6640625" style="2" customWidth="1"/>
    <col min="9242" max="9242" width="6.6640625" style="2" customWidth="1"/>
    <col min="9243" max="9243" width="9.6640625" style="2" customWidth="1"/>
    <col min="9244" max="9244" width="4.6640625" style="2" customWidth="1"/>
    <col min="9245" max="9245" width="12.6640625" style="2" customWidth="1"/>
    <col min="9246" max="9246" width="15.6640625" style="2" customWidth="1"/>
    <col min="9247" max="9247" width="5.6640625" style="2" customWidth="1"/>
    <col min="9248" max="9248" width="6.6640625" style="2" customWidth="1"/>
    <col min="9249" max="9249" width="19.6640625" style="2" customWidth="1"/>
    <col min="9250" max="9250" width="24.6640625" style="2" customWidth="1"/>
    <col min="9251" max="9251" width="23.6640625" style="2" customWidth="1"/>
    <col min="9252" max="9252" width="4.6640625" style="2" customWidth="1"/>
    <col min="9253" max="9253" width="6.6640625" style="2" customWidth="1"/>
    <col min="9254" max="9254" width="19.6640625" style="2" customWidth="1"/>
    <col min="9255" max="9255" width="24.6640625" style="2" customWidth="1"/>
    <col min="9256" max="9256" width="23.6640625" style="2" customWidth="1"/>
    <col min="9257" max="9280" width="11.44140625" style="2" customWidth="1"/>
    <col min="9281" max="9281" width="24.6640625" style="2" customWidth="1"/>
    <col min="9282" max="9282" width="23.6640625" style="2" customWidth="1"/>
    <col min="9283" max="9484" width="11.44140625" style="2"/>
    <col min="9485" max="9485" width="53.6640625" style="2" customWidth="1"/>
    <col min="9486" max="9495" width="6.6640625" style="2" customWidth="1"/>
    <col min="9496" max="9496" width="7.5546875" style="2" customWidth="1"/>
    <col min="9497" max="9497" width="5.6640625" style="2" customWidth="1"/>
    <col min="9498" max="9498" width="6.6640625" style="2" customWidth="1"/>
    <col min="9499" max="9499" width="9.6640625" style="2" customWidth="1"/>
    <col min="9500" max="9500" width="4.6640625" style="2" customWidth="1"/>
    <col min="9501" max="9501" width="12.6640625" style="2" customWidth="1"/>
    <col min="9502" max="9502" width="15.6640625" style="2" customWidth="1"/>
    <col min="9503" max="9503" width="5.6640625" style="2" customWidth="1"/>
    <col min="9504" max="9504" width="6.6640625" style="2" customWidth="1"/>
    <col min="9505" max="9505" width="19.6640625" style="2" customWidth="1"/>
    <col min="9506" max="9506" width="24.6640625" style="2" customWidth="1"/>
    <col min="9507" max="9507" width="23.6640625" style="2" customWidth="1"/>
    <col min="9508" max="9508" width="4.6640625" style="2" customWidth="1"/>
    <col min="9509" max="9509" width="6.6640625" style="2" customWidth="1"/>
    <col min="9510" max="9510" width="19.6640625" style="2" customWidth="1"/>
    <col min="9511" max="9511" width="24.6640625" style="2" customWidth="1"/>
    <col min="9512" max="9512" width="23.6640625" style="2" customWidth="1"/>
    <col min="9513" max="9536" width="11.44140625" style="2" customWidth="1"/>
    <col min="9537" max="9537" width="24.6640625" style="2" customWidth="1"/>
    <col min="9538" max="9538" width="23.6640625" style="2" customWidth="1"/>
    <col min="9539" max="9740" width="11.44140625" style="2"/>
    <col min="9741" max="9741" width="53.6640625" style="2" customWidth="1"/>
    <col min="9742" max="9751" width="6.6640625" style="2" customWidth="1"/>
    <col min="9752" max="9752" width="7.5546875" style="2" customWidth="1"/>
    <col min="9753" max="9753" width="5.6640625" style="2" customWidth="1"/>
    <col min="9754" max="9754" width="6.6640625" style="2" customWidth="1"/>
    <col min="9755" max="9755" width="9.6640625" style="2" customWidth="1"/>
    <col min="9756" max="9756" width="4.6640625" style="2" customWidth="1"/>
    <col min="9757" max="9757" width="12.6640625" style="2" customWidth="1"/>
    <col min="9758" max="9758" width="15.6640625" style="2" customWidth="1"/>
    <col min="9759" max="9759" width="5.6640625" style="2" customWidth="1"/>
    <col min="9760" max="9760" width="6.6640625" style="2" customWidth="1"/>
    <col min="9761" max="9761" width="19.6640625" style="2" customWidth="1"/>
    <col min="9762" max="9762" width="24.6640625" style="2" customWidth="1"/>
    <col min="9763" max="9763" width="23.6640625" style="2" customWidth="1"/>
    <col min="9764" max="9764" width="4.6640625" style="2" customWidth="1"/>
    <col min="9765" max="9765" width="6.6640625" style="2" customWidth="1"/>
    <col min="9766" max="9766" width="19.6640625" style="2" customWidth="1"/>
    <col min="9767" max="9767" width="24.6640625" style="2" customWidth="1"/>
    <col min="9768" max="9768" width="23.6640625" style="2" customWidth="1"/>
    <col min="9769" max="9792" width="11.44140625" style="2" customWidth="1"/>
    <col min="9793" max="9793" width="24.6640625" style="2" customWidth="1"/>
    <col min="9794" max="9794" width="23.6640625" style="2" customWidth="1"/>
    <col min="9795" max="9996" width="11.44140625" style="2"/>
    <col min="9997" max="9997" width="53.6640625" style="2" customWidth="1"/>
    <col min="9998" max="10007" width="6.6640625" style="2" customWidth="1"/>
    <col min="10008" max="10008" width="7.5546875" style="2" customWidth="1"/>
    <col min="10009" max="10009" width="5.6640625" style="2" customWidth="1"/>
    <col min="10010" max="10010" width="6.6640625" style="2" customWidth="1"/>
    <col min="10011" max="10011" width="9.6640625" style="2" customWidth="1"/>
    <col min="10012" max="10012" width="4.6640625" style="2" customWidth="1"/>
    <col min="10013" max="10013" width="12.6640625" style="2" customWidth="1"/>
    <col min="10014" max="10014" width="15.6640625" style="2" customWidth="1"/>
    <col min="10015" max="10015" width="5.6640625" style="2" customWidth="1"/>
    <col min="10016" max="10016" width="6.6640625" style="2" customWidth="1"/>
    <col min="10017" max="10017" width="19.6640625" style="2" customWidth="1"/>
    <col min="10018" max="10018" width="24.6640625" style="2" customWidth="1"/>
    <col min="10019" max="10019" width="23.6640625" style="2" customWidth="1"/>
    <col min="10020" max="10020" width="4.6640625" style="2" customWidth="1"/>
    <col min="10021" max="10021" width="6.6640625" style="2" customWidth="1"/>
    <col min="10022" max="10022" width="19.6640625" style="2" customWidth="1"/>
    <col min="10023" max="10023" width="24.6640625" style="2" customWidth="1"/>
    <col min="10024" max="10024" width="23.6640625" style="2" customWidth="1"/>
    <col min="10025" max="10048" width="11.44140625" style="2" customWidth="1"/>
    <col min="10049" max="10049" width="24.6640625" style="2" customWidth="1"/>
    <col min="10050" max="10050" width="23.6640625" style="2" customWidth="1"/>
    <col min="10051" max="10252" width="11.44140625" style="2"/>
    <col min="10253" max="10253" width="53.6640625" style="2" customWidth="1"/>
    <col min="10254" max="10263" width="6.6640625" style="2" customWidth="1"/>
    <col min="10264" max="10264" width="7.5546875" style="2" customWidth="1"/>
    <col min="10265" max="10265" width="5.6640625" style="2" customWidth="1"/>
    <col min="10266" max="10266" width="6.6640625" style="2" customWidth="1"/>
    <col min="10267" max="10267" width="9.6640625" style="2" customWidth="1"/>
    <col min="10268" max="10268" width="4.6640625" style="2" customWidth="1"/>
    <col min="10269" max="10269" width="12.6640625" style="2" customWidth="1"/>
    <col min="10270" max="10270" width="15.6640625" style="2" customWidth="1"/>
    <col min="10271" max="10271" width="5.6640625" style="2" customWidth="1"/>
    <col min="10272" max="10272" width="6.6640625" style="2" customWidth="1"/>
    <col min="10273" max="10273" width="19.6640625" style="2" customWidth="1"/>
    <col min="10274" max="10274" width="24.6640625" style="2" customWidth="1"/>
    <col min="10275" max="10275" width="23.6640625" style="2" customWidth="1"/>
    <col min="10276" max="10276" width="4.6640625" style="2" customWidth="1"/>
    <col min="10277" max="10277" width="6.6640625" style="2" customWidth="1"/>
    <col min="10278" max="10278" width="19.6640625" style="2" customWidth="1"/>
    <col min="10279" max="10279" width="24.6640625" style="2" customWidth="1"/>
    <col min="10280" max="10280" width="23.6640625" style="2" customWidth="1"/>
    <col min="10281" max="10304" width="11.44140625" style="2" customWidth="1"/>
    <col min="10305" max="10305" width="24.6640625" style="2" customWidth="1"/>
    <col min="10306" max="10306" width="23.6640625" style="2" customWidth="1"/>
    <col min="10307" max="10508" width="11.44140625" style="2"/>
    <col min="10509" max="10509" width="53.6640625" style="2" customWidth="1"/>
    <col min="10510" max="10519" width="6.6640625" style="2" customWidth="1"/>
    <col min="10520" max="10520" width="7.5546875" style="2" customWidth="1"/>
    <col min="10521" max="10521" width="5.6640625" style="2" customWidth="1"/>
    <col min="10522" max="10522" width="6.6640625" style="2" customWidth="1"/>
    <col min="10523" max="10523" width="9.6640625" style="2" customWidth="1"/>
    <col min="10524" max="10524" width="4.6640625" style="2" customWidth="1"/>
    <col min="10525" max="10525" width="12.6640625" style="2" customWidth="1"/>
    <col min="10526" max="10526" width="15.6640625" style="2" customWidth="1"/>
    <col min="10527" max="10527" width="5.6640625" style="2" customWidth="1"/>
    <col min="10528" max="10528" width="6.6640625" style="2" customWidth="1"/>
    <col min="10529" max="10529" width="19.6640625" style="2" customWidth="1"/>
    <col min="10530" max="10530" width="24.6640625" style="2" customWidth="1"/>
    <col min="10531" max="10531" width="23.6640625" style="2" customWidth="1"/>
    <col min="10532" max="10532" width="4.6640625" style="2" customWidth="1"/>
    <col min="10533" max="10533" width="6.6640625" style="2" customWidth="1"/>
    <col min="10534" max="10534" width="19.6640625" style="2" customWidth="1"/>
    <col min="10535" max="10535" width="24.6640625" style="2" customWidth="1"/>
    <col min="10536" max="10536" width="23.6640625" style="2" customWidth="1"/>
    <col min="10537" max="10560" width="11.44140625" style="2" customWidth="1"/>
    <col min="10561" max="10561" width="24.6640625" style="2" customWidth="1"/>
    <col min="10562" max="10562" width="23.6640625" style="2" customWidth="1"/>
    <col min="10563" max="10764" width="11.44140625" style="2"/>
    <col min="10765" max="10765" width="53.6640625" style="2" customWidth="1"/>
    <col min="10766" max="10775" width="6.6640625" style="2" customWidth="1"/>
    <col min="10776" max="10776" width="7.5546875" style="2" customWidth="1"/>
    <col min="10777" max="10777" width="5.6640625" style="2" customWidth="1"/>
    <col min="10778" max="10778" width="6.6640625" style="2" customWidth="1"/>
    <col min="10779" max="10779" width="9.6640625" style="2" customWidth="1"/>
    <col min="10780" max="10780" width="4.6640625" style="2" customWidth="1"/>
    <col min="10781" max="10781" width="12.6640625" style="2" customWidth="1"/>
    <col min="10782" max="10782" width="15.6640625" style="2" customWidth="1"/>
    <col min="10783" max="10783" width="5.6640625" style="2" customWidth="1"/>
    <col min="10784" max="10784" width="6.6640625" style="2" customWidth="1"/>
    <col min="10785" max="10785" width="19.6640625" style="2" customWidth="1"/>
    <col min="10786" max="10786" width="24.6640625" style="2" customWidth="1"/>
    <col min="10787" max="10787" width="23.6640625" style="2" customWidth="1"/>
    <col min="10788" max="10788" width="4.6640625" style="2" customWidth="1"/>
    <col min="10789" max="10789" width="6.6640625" style="2" customWidth="1"/>
    <col min="10790" max="10790" width="19.6640625" style="2" customWidth="1"/>
    <col min="10791" max="10791" width="24.6640625" style="2" customWidth="1"/>
    <col min="10792" max="10792" width="23.6640625" style="2" customWidth="1"/>
    <col min="10793" max="10816" width="11.44140625" style="2" customWidth="1"/>
    <col min="10817" max="10817" width="24.6640625" style="2" customWidth="1"/>
    <col min="10818" max="10818" width="23.6640625" style="2" customWidth="1"/>
    <col min="10819" max="11020" width="11.44140625" style="2"/>
    <col min="11021" max="11021" width="53.6640625" style="2" customWidth="1"/>
    <col min="11022" max="11031" width="6.6640625" style="2" customWidth="1"/>
    <col min="11032" max="11032" width="7.5546875" style="2" customWidth="1"/>
    <col min="11033" max="11033" width="5.6640625" style="2" customWidth="1"/>
    <col min="11034" max="11034" width="6.6640625" style="2" customWidth="1"/>
    <col min="11035" max="11035" width="9.6640625" style="2" customWidth="1"/>
    <col min="11036" max="11036" width="4.6640625" style="2" customWidth="1"/>
    <col min="11037" max="11037" width="12.6640625" style="2" customWidth="1"/>
    <col min="11038" max="11038" width="15.6640625" style="2" customWidth="1"/>
    <col min="11039" max="11039" width="5.6640625" style="2" customWidth="1"/>
    <col min="11040" max="11040" width="6.6640625" style="2" customWidth="1"/>
    <col min="11041" max="11041" width="19.6640625" style="2" customWidth="1"/>
    <col min="11042" max="11042" width="24.6640625" style="2" customWidth="1"/>
    <col min="11043" max="11043" width="23.6640625" style="2" customWidth="1"/>
    <col min="11044" max="11044" width="4.6640625" style="2" customWidth="1"/>
    <col min="11045" max="11045" width="6.6640625" style="2" customWidth="1"/>
    <col min="11046" max="11046" width="19.6640625" style="2" customWidth="1"/>
    <col min="11047" max="11047" width="24.6640625" style="2" customWidth="1"/>
    <col min="11048" max="11048" width="23.6640625" style="2" customWidth="1"/>
    <col min="11049" max="11072" width="11.44140625" style="2" customWidth="1"/>
    <col min="11073" max="11073" width="24.6640625" style="2" customWidth="1"/>
    <col min="11074" max="11074" width="23.6640625" style="2" customWidth="1"/>
    <col min="11075" max="11276" width="11.44140625" style="2"/>
    <col min="11277" max="11277" width="53.6640625" style="2" customWidth="1"/>
    <col min="11278" max="11287" width="6.6640625" style="2" customWidth="1"/>
    <col min="11288" max="11288" width="7.5546875" style="2" customWidth="1"/>
    <col min="11289" max="11289" width="5.6640625" style="2" customWidth="1"/>
    <col min="11290" max="11290" width="6.6640625" style="2" customWidth="1"/>
    <col min="11291" max="11291" width="9.6640625" style="2" customWidth="1"/>
    <col min="11292" max="11292" width="4.6640625" style="2" customWidth="1"/>
    <col min="11293" max="11293" width="12.6640625" style="2" customWidth="1"/>
    <col min="11294" max="11294" width="15.6640625" style="2" customWidth="1"/>
    <col min="11295" max="11295" width="5.6640625" style="2" customWidth="1"/>
    <col min="11296" max="11296" width="6.6640625" style="2" customWidth="1"/>
    <col min="11297" max="11297" width="19.6640625" style="2" customWidth="1"/>
    <col min="11298" max="11298" width="24.6640625" style="2" customWidth="1"/>
    <col min="11299" max="11299" width="23.6640625" style="2" customWidth="1"/>
    <col min="11300" max="11300" width="4.6640625" style="2" customWidth="1"/>
    <col min="11301" max="11301" width="6.6640625" style="2" customWidth="1"/>
    <col min="11302" max="11302" width="19.6640625" style="2" customWidth="1"/>
    <col min="11303" max="11303" width="24.6640625" style="2" customWidth="1"/>
    <col min="11304" max="11304" width="23.6640625" style="2" customWidth="1"/>
    <col min="11305" max="11328" width="11.44140625" style="2" customWidth="1"/>
    <col min="11329" max="11329" width="24.6640625" style="2" customWidth="1"/>
    <col min="11330" max="11330" width="23.6640625" style="2" customWidth="1"/>
    <col min="11331" max="11532" width="11.44140625" style="2"/>
    <col min="11533" max="11533" width="53.6640625" style="2" customWidth="1"/>
    <col min="11534" max="11543" width="6.6640625" style="2" customWidth="1"/>
    <col min="11544" max="11544" width="7.5546875" style="2" customWidth="1"/>
    <col min="11545" max="11545" width="5.6640625" style="2" customWidth="1"/>
    <col min="11546" max="11546" width="6.6640625" style="2" customWidth="1"/>
    <col min="11547" max="11547" width="9.6640625" style="2" customWidth="1"/>
    <col min="11548" max="11548" width="4.6640625" style="2" customWidth="1"/>
    <col min="11549" max="11549" width="12.6640625" style="2" customWidth="1"/>
    <col min="11550" max="11550" width="15.6640625" style="2" customWidth="1"/>
    <col min="11551" max="11551" width="5.6640625" style="2" customWidth="1"/>
    <col min="11552" max="11552" width="6.6640625" style="2" customWidth="1"/>
    <col min="11553" max="11553" width="19.6640625" style="2" customWidth="1"/>
    <col min="11554" max="11554" width="24.6640625" style="2" customWidth="1"/>
    <col min="11555" max="11555" width="23.6640625" style="2" customWidth="1"/>
    <col min="11556" max="11556" width="4.6640625" style="2" customWidth="1"/>
    <col min="11557" max="11557" width="6.6640625" style="2" customWidth="1"/>
    <col min="11558" max="11558" width="19.6640625" style="2" customWidth="1"/>
    <col min="11559" max="11559" width="24.6640625" style="2" customWidth="1"/>
    <col min="11560" max="11560" width="23.6640625" style="2" customWidth="1"/>
    <col min="11561" max="11584" width="11.44140625" style="2" customWidth="1"/>
    <col min="11585" max="11585" width="24.6640625" style="2" customWidth="1"/>
    <col min="11586" max="11586" width="23.6640625" style="2" customWidth="1"/>
    <col min="11587" max="11788" width="11.44140625" style="2"/>
    <col min="11789" max="11789" width="53.6640625" style="2" customWidth="1"/>
    <col min="11790" max="11799" width="6.6640625" style="2" customWidth="1"/>
    <col min="11800" max="11800" width="7.5546875" style="2" customWidth="1"/>
    <col min="11801" max="11801" width="5.6640625" style="2" customWidth="1"/>
    <col min="11802" max="11802" width="6.6640625" style="2" customWidth="1"/>
    <col min="11803" max="11803" width="9.6640625" style="2" customWidth="1"/>
    <col min="11804" max="11804" width="4.6640625" style="2" customWidth="1"/>
    <col min="11805" max="11805" width="12.6640625" style="2" customWidth="1"/>
    <col min="11806" max="11806" width="15.6640625" style="2" customWidth="1"/>
    <col min="11807" max="11807" width="5.6640625" style="2" customWidth="1"/>
    <col min="11808" max="11808" width="6.6640625" style="2" customWidth="1"/>
    <col min="11809" max="11809" width="19.6640625" style="2" customWidth="1"/>
    <col min="11810" max="11810" width="24.6640625" style="2" customWidth="1"/>
    <col min="11811" max="11811" width="23.6640625" style="2" customWidth="1"/>
    <col min="11812" max="11812" width="4.6640625" style="2" customWidth="1"/>
    <col min="11813" max="11813" width="6.6640625" style="2" customWidth="1"/>
    <col min="11814" max="11814" width="19.6640625" style="2" customWidth="1"/>
    <col min="11815" max="11815" width="24.6640625" style="2" customWidth="1"/>
    <col min="11816" max="11816" width="23.6640625" style="2" customWidth="1"/>
    <col min="11817" max="11840" width="11.44140625" style="2" customWidth="1"/>
    <col min="11841" max="11841" width="24.6640625" style="2" customWidth="1"/>
    <col min="11842" max="11842" width="23.6640625" style="2" customWidth="1"/>
    <col min="11843" max="12044" width="11.44140625" style="2"/>
    <col min="12045" max="12045" width="53.6640625" style="2" customWidth="1"/>
    <col min="12046" max="12055" width="6.6640625" style="2" customWidth="1"/>
    <col min="12056" max="12056" width="7.5546875" style="2" customWidth="1"/>
    <col min="12057" max="12057" width="5.6640625" style="2" customWidth="1"/>
    <col min="12058" max="12058" width="6.6640625" style="2" customWidth="1"/>
    <col min="12059" max="12059" width="9.6640625" style="2" customWidth="1"/>
    <col min="12060" max="12060" width="4.6640625" style="2" customWidth="1"/>
    <col min="12061" max="12061" width="12.6640625" style="2" customWidth="1"/>
    <col min="12062" max="12062" width="15.6640625" style="2" customWidth="1"/>
    <col min="12063" max="12063" width="5.6640625" style="2" customWidth="1"/>
    <col min="12064" max="12064" width="6.6640625" style="2" customWidth="1"/>
    <col min="12065" max="12065" width="19.6640625" style="2" customWidth="1"/>
    <col min="12066" max="12066" width="24.6640625" style="2" customWidth="1"/>
    <col min="12067" max="12067" width="23.6640625" style="2" customWidth="1"/>
    <col min="12068" max="12068" width="4.6640625" style="2" customWidth="1"/>
    <col min="12069" max="12069" width="6.6640625" style="2" customWidth="1"/>
    <col min="12070" max="12070" width="19.6640625" style="2" customWidth="1"/>
    <col min="12071" max="12071" width="24.6640625" style="2" customWidth="1"/>
    <col min="12072" max="12072" width="23.6640625" style="2" customWidth="1"/>
    <col min="12073" max="12096" width="11.44140625" style="2" customWidth="1"/>
    <col min="12097" max="12097" width="24.6640625" style="2" customWidth="1"/>
    <col min="12098" max="12098" width="23.6640625" style="2" customWidth="1"/>
    <col min="12099" max="12300" width="11.44140625" style="2"/>
    <col min="12301" max="12301" width="53.6640625" style="2" customWidth="1"/>
    <col min="12302" max="12311" width="6.6640625" style="2" customWidth="1"/>
    <col min="12312" max="12312" width="7.5546875" style="2" customWidth="1"/>
    <col min="12313" max="12313" width="5.6640625" style="2" customWidth="1"/>
    <col min="12314" max="12314" width="6.6640625" style="2" customWidth="1"/>
    <col min="12315" max="12315" width="9.6640625" style="2" customWidth="1"/>
    <col min="12316" max="12316" width="4.6640625" style="2" customWidth="1"/>
    <col min="12317" max="12317" width="12.6640625" style="2" customWidth="1"/>
    <col min="12318" max="12318" width="15.6640625" style="2" customWidth="1"/>
    <col min="12319" max="12319" width="5.6640625" style="2" customWidth="1"/>
    <col min="12320" max="12320" width="6.6640625" style="2" customWidth="1"/>
    <col min="12321" max="12321" width="19.6640625" style="2" customWidth="1"/>
    <col min="12322" max="12322" width="24.6640625" style="2" customWidth="1"/>
    <col min="12323" max="12323" width="23.6640625" style="2" customWidth="1"/>
    <col min="12324" max="12324" width="4.6640625" style="2" customWidth="1"/>
    <col min="12325" max="12325" width="6.6640625" style="2" customWidth="1"/>
    <col min="12326" max="12326" width="19.6640625" style="2" customWidth="1"/>
    <col min="12327" max="12327" width="24.6640625" style="2" customWidth="1"/>
    <col min="12328" max="12328" width="23.6640625" style="2" customWidth="1"/>
    <col min="12329" max="12352" width="11.44140625" style="2" customWidth="1"/>
    <col min="12353" max="12353" width="24.6640625" style="2" customWidth="1"/>
    <col min="12354" max="12354" width="23.6640625" style="2" customWidth="1"/>
    <col min="12355" max="12556" width="11.44140625" style="2"/>
    <col min="12557" max="12557" width="53.6640625" style="2" customWidth="1"/>
    <col min="12558" max="12567" width="6.6640625" style="2" customWidth="1"/>
    <col min="12568" max="12568" width="7.5546875" style="2" customWidth="1"/>
    <col min="12569" max="12569" width="5.6640625" style="2" customWidth="1"/>
    <col min="12570" max="12570" width="6.6640625" style="2" customWidth="1"/>
    <col min="12571" max="12571" width="9.6640625" style="2" customWidth="1"/>
    <col min="12572" max="12572" width="4.6640625" style="2" customWidth="1"/>
    <col min="12573" max="12573" width="12.6640625" style="2" customWidth="1"/>
    <col min="12574" max="12574" width="15.6640625" style="2" customWidth="1"/>
    <col min="12575" max="12575" width="5.6640625" style="2" customWidth="1"/>
    <col min="12576" max="12576" width="6.6640625" style="2" customWidth="1"/>
    <col min="12577" max="12577" width="19.6640625" style="2" customWidth="1"/>
    <col min="12578" max="12578" width="24.6640625" style="2" customWidth="1"/>
    <col min="12579" max="12579" width="23.6640625" style="2" customWidth="1"/>
    <col min="12580" max="12580" width="4.6640625" style="2" customWidth="1"/>
    <col min="12581" max="12581" width="6.6640625" style="2" customWidth="1"/>
    <col min="12582" max="12582" width="19.6640625" style="2" customWidth="1"/>
    <col min="12583" max="12583" width="24.6640625" style="2" customWidth="1"/>
    <col min="12584" max="12584" width="23.6640625" style="2" customWidth="1"/>
    <col min="12585" max="12608" width="11.44140625" style="2" customWidth="1"/>
    <col min="12609" max="12609" width="24.6640625" style="2" customWidth="1"/>
    <col min="12610" max="12610" width="23.6640625" style="2" customWidth="1"/>
    <col min="12611" max="12812" width="11.44140625" style="2"/>
    <col min="12813" max="12813" width="53.6640625" style="2" customWidth="1"/>
    <col min="12814" max="12823" width="6.6640625" style="2" customWidth="1"/>
    <col min="12824" max="12824" width="7.5546875" style="2" customWidth="1"/>
    <col min="12825" max="12825" width="5.6640625" style="2" customWidth="1"/>
    <col min="12826" max="12826" width="6.6640625" style="2" customWidth="1"/>
    <col min="12827" max="12827" width="9.6640625" style="2" customWidth="1"/>
    <col min="12828" max="12828" width="4.6640625" style="2" customWidth="1"/>
    <col min="12829" max="12829" width="12.6640625" style="2" customWidth="1"/>
    <col min="12830" max="12830" width="15.6640625" style="2" customWidth="1"/>
    <col min="12831" max="12831" width="5.6640625" style="2" customWidth="1"/>
    <col min="12832" max="12832" width="6.6640625" style="2" customWidth="1"/>
    <col min="12833" max="12833" width="19.6640625" style="2" customWidth="1"/>
    <col min="12834" max="12834" width="24.6640625" style="2" customWidth="1"/>
    <col min="12835" max="12835" width="23.6640625" style="2" customWidth="1"/>
    <col min="12836" max="12836" width="4.6640625" style="2" customWidth="1"/>
    <col min="12837" max="12837" width="6.6640625" style="2" customWidth="1"/>
    <col min="12838" max="12838" width="19.6640625" style="2" customWidth="1"/>
    <col min="12839" max="12839" width="24.6640625" style="2" customWidth="1"/>
    <col min="12840" max="12840" width="23.6640625" style="2" customWidth="1"/>
    <col min="12841" max="12864" width="11.44140625" style="2" customWidth="1"/>
    <col min="12865" max="12865" width="24.6640625" style="2" customWidth="1"/>
    <col min="12866" max="12866" width="23.6640625" style="2" customWidth="1"/>
    <col min="12867" max="13068" width="11.44140625" style="2"/>
    <col min="13069" max="13069" width="53.6640625" style="2" customWidth="1"/>
    <col min="13070" max="13079" width="6.6640625" style="2" customWidth="1"/>
    <col min="13080" max="13080" width="7.5546875" style="2" customWidth="1"/>
    <col min="13081" max="13081" width="5.6640625" style="2" customWidth="1"/>
    <col min="13082" max="13082" width="6.6640625" style="2" customWidth="1"/>
    <col min="13083" max="13083" width="9.6640625" style="2" customWidth="1"/>
    <col min="13084" max="13084" width="4.6640625" style="2" customWidth="1"/>
    <col min="13085" max="13085" width="12.6640625" style="2" customWidth="1"/>
    <col min="13086" max="13086" width="15.6640625" style="2" customWidth="1"/>
    <col min="13087" max="13087" width="5.6640625" style="2" customWidth="1"/>
    <col min="13088" max="13088" width="6.6640625" style="2" customWidth="1"/>
    <col min="13089" max="13089" width="19.6640625" style="2" customWidth="1"/>
    <col min="13090" max="13090" width="24.6640625" style="2" customWidth="1"/>
    <col min="13091" max="13091" width="23.6640625" style="2" customWidth="1"/>
    <col min="13092" max="13092" width="4.6640625" style="2" customWidth="1"/>
    <col min="13093" max="13093" width="6.6640625" style="2" customWidth="1"/>
    <col min="13094" max="13094" width="19.6640625" style="2" customWidth="1"/>
    <col min="13095" max="13095" width="24.6640625" style="2" customWidth="1"/>
    <col min="13096" max="13096" width="23.6640625" style="2" customWidth="1"/>
    <col min="13097" max="13120" width="11.44140625" style="2" customWidth="1"/>
    <col min="13121" max="13121" width="24.6640625" style="2" customWidth="1"/>
    <col min="13122" max="13122" width="23.6640625" style="2" customWidth="1"/>
    <col min="13123" max="13324" width="11.44140625" style="2"/>
    <col min="13325" max="13325" width="53.6640625" style="2" customWidth="1"/>
    <col min="13326" max="13335" width="6.6640625" style="2" customWidth="1"/>
    <col min="13336" max="13336" width="7.5546875" style="2" customWidth="1"/>
    <col min="13337" max="13337" width="5.6640625" style="2" customWidth="1"/>
    <col min="13338" max="13338" width="6.6640625" style="2" customWidth="1"/>
    <col min="13339" max="13339" width="9.6640625" style="2" customWidth="1"/>
    <col min="13340" max="13340" width="4.6640625" style="2" customWidth="1"/>
    <col min="13341" max="13341" width="12.6640625" style="2" customWidth="1"/>
    <col min="13342" max="13342" width="15.6640625" style="2" customWidth="1"/>
    <col min="13343" max="13343" width="5.6640625" style="2" customWidth="1"/>
    <col min="13344" max="13344" width="6.6640625" style="2" customWidth="1"/>
    <col min="13345" max="13345" width="19.6640625" style="2" customWidth="1"/>
    <col min="13346" max="13346" width="24.6640625" style="2" customWidth="1"/>
    <col min="13347" max="13347" width="23.6640625" style="2" customWidth="1"/>
    <col min="13348" max="13348" width="4.6640625" style="2" customWidth="1"/>
    <col min="13349" max="13349" width="6.6640625" style="2" customWidth="1"/>
    <col min="13350" max="13350" width="19.6640625" style="2" customWidth="1"/>
    <col min="13351" max="13351" width="24.6640625" style="2" customWidth="1"/>
    <col min="13352" max="13352" width="23.6640625" style="2" customWidth="1"/>
    <col min="13353" max="13376" width="11.44140625" style="2" customWidth="1"/>
    <col min="13377" max="13377" width="24.6640625" style="2" customWidth="1"/>
    <col min="13378" max="13378" width="23.6640625" style="2" customWidth="1"/>
    <col min="13379" max="13580" width="11.44140625" style="2"/>
    <col min="13581" max="13581" width="53.6640625" style="2" customWidth="1"/>
    <col min="13582" max="13591" width="6.6640625" style="2" customWidth="1"/>
    <col min="13592" max="13592" width="7.5546875" style="2" customWidth="1"/>
    <col min="13593" max="13593" width="5.6640625" style="2" customWidth="1"/>
    <col min="13594" max="13594" width="6.6640625" style="2" customWidth="1"/>
    <col min="13595" max="13595" width="9.6640625" style="2" customWidth="1"/>
    <col min="13596" max="13596" width="4.6640625" style="2" customWidth="1"/>
    <col min="13597" max="13597" width="12.6640625" style="2" customWidth="1"/>
    <col min="13598" max="13598" width="15.6640625" style="2" customWidth="1"/>
    <col min="13599" max="13599" width="5.6640625" style="2" customWidth="1"/>
    <col min="13600" max="13600" width="6.6640625" style="2" customWidth="1"/>
    <col min="13601" max="13601" width="19.6640625" style="2" customWidth="1"/>
    <col min="13602" max="13602" width="24.6640625" style="2" customWidth="1"/>
    <col min="13603" max="13603" width="23.6640625" style="2" customWidth="1"/>
    <col min="13604" max="13604" width="4.6640625" style="2" customWidth="1"/>
    <col min="13605" max="13605" width="6.6640625" style="2" customWidth="1"/>
    <col min="13606" max="13606" width="19.6640625" style="2" customWidth="1"/>
    <col min="13607" max="13607" width="24.6640625" style="2" customWidth="1"/>
    <col min="13608" max="13608" width="23.6640625" style="2" customWidth="1"/>
    <col min="13609" max="13632" width="11.44140625" style="2" customWidth="1"/>
    <col min="13633" max="13633" width="24.6640625" style="2" customWidth="1"/>
    <col min="13634" max="13634" width="23.6640625" style="2" customWidth="1"/>
    <col min="13635" max="13836" width="11.44140625" style="2"/>
    <col min="13837" max="13837" width="53.6640625" style="2" customWidth="1"/>
    <col min="13838" max="13847" width="6.6640625" style="2" customWidth="1"/>
    <col min="13848" max="13848" width="7.5546875" style="2" customWidth="1"/>
    <col min="13849" max="13849" width="5.6640625" style="2" customWidth="1"/>
    <col min="13850" max="13850" width="6.6640625" style="2" customWidth="1"/>
    <col min="13851" max="13851" width="9.6640625" style="2" customWidth="1"/>
    <col min="13852" max="13852" width="4.6640625" style="2" customWidth="1"/>
    <col min="13853" max="13853" width="12.6640625" style="2" customWidth="1"/>
    <col min="13854" max="13854" width="15.6640625" style="2" customWidth="1"/>
    <col min="13855" max="13855" width="5.6640625" style="2" customWidth="1"/>
    <col min="13856" max="13856" width="6.6640625" style="2" customWidth="1"/>
    <col min="13857" max="13857" width="19.6640625" style="2" customWidth="1"/>
    <col min="13858" max="13858" width="24.6640625" style="2" customWidth="1"/>
    <col min="13859" max="13859" width="23.6640625" style="2" customWidth="1"/>
    <col min="13860" max="13860" width="4.6640625" style="2" customWidth="1"/>
    <col min="13861" max="13861" width="6.6640625" style="2" customWidth="1"/>
    <col min="13862" max="13862" width="19.6640625" style="2" customWidth="1"/>
    <col min="13863" max="13863" width="24.6640625" style="2" customWidth="1"/>
    <col min="13864" max="13864" width="23.6640625" style="2" customWidth="1"/>
    <col min="13865" max="13888" width="11.44140625" style="2" customWidth="1"/>
    <col min="13889" max="13889" width="24.6640625" style="2" customWidth="1"/>
    <col min="13890" max="13890" width="23.6640625" style="2" customWidth="1"/>
    <col min="13891" max="14092" width="11.44140625" style="2"/>
    <col min="14093" max="14093" width="53.6640625" style="2" customWidth="1"/>
    <col min="14094" max="14103" width="6.6640625" style="2" customWidth="1"/>
    <col min="14104" max="14104" width="7.5546875" style="2" customWidth="1"/>
    <col min="14105" max="14105" width="5.6640625" style="2" customWidth="1"/>
    <col min="14106" max="14106" width="6.6640625" style="2" customWidth="1"/>
    <col min="14107" max="14107" width="9.6640625" style="2" customWidth="1"/>
    <col min="14108" max="14108" width="4.6640625" style="2" customWidth="1"/>
    <col min="14109" max="14109" width="12.6640625" style="2" customWidth="1"/>
    <col min="14110" max="14110" width="15.6640625" style="2" customWidth="1"/>
    <col min="14111" max="14111" width="5.6640625" style="2" customWidth="1"/>
    <col min="14112" max="14112" width="6.6640625" style="2" customWidth="1"/>
    <col min="14113" max="14113" width="19.6640625" style="2" customWidth="1"/>
    <col min="14114" max="14114" width="24.6640625" style="2" customWidth="1"/>
    <col min="14115" max="14115" width="23.6640625" style="2" customWidth="1"/>
    <col min="14116" max="14116" width="4.6640625" style="2" customWidth="1"/>
    <col min="14117" max="14117" width="6.6640625" style="2" customWidth="1"/>
    <col min="14118" max="14118" width="19.6640625" style="2" customWidth="1"/>
    <col min="14119" max="14119" width="24.6640625" style="2" customWidth="1"/>
    <col min="14120" max="14120" width="23.6640625" style="2" customWidth="1"/>
    <col min="14121" max="14144" width="11.44140625" style="2" customWidth="1"/>
    <col min="14145" max="14145" width="24.6640625" style="2" customWidth="1"/>
    <col min="14146" max="14146" width="23.6640625" style="2" customWidth="1"/>
    <col min="14147" max="14348" width="11.44140625" style="2"/>
    <col min="14349" max="14349" width="53.6640625" style="2" customWidth="1"/>
    <col min="14350" max="14359" width="6.6640625" style="2" customWidth="1"/>
    <col min="14360" max="14360" width="7.5546875" style="2" customWidth="1"/>
    <col min="14361" max="14361" width="5.6640625" style="2" customWidth="1"/>
    <col min="14362" max="14362" width="6.6640625" style="2" customWidth="1"/>
    <col min="14363" max="14363" width="9.6640625" style="2" customWidth="1"/>
    <col min="14364" max="14364" width="4.6640625" style="2" customWidth="1"/>
    <col min="14365" max="14365" width="12.6640625" style="2" customWidth="1"/>
    <col min="14366" max="14366" width="15.6640625" style="2" customWidth="1"/>
    <col min="14367" max="14367" width="5.6640625" style="2" customWidth="1"/>
    <col min="14368" max="14368" width="6.6640625" style="2" customWidth="1"/>
    <col min="14369" max="14369" width="19.6640625" style="2" customWidth="1"/>
    <col min="14370" max="14370" width="24.6640625" style="2" customWidth="1"/>
    <col min="14371" max="14371" width="23.6640625" style="2" customWidth="1"/>
    <col min="14372" max="14372" width="4.6640625" style="2" customWidth="1"/>
    <col min="14373" max="14373" width="6.6640625" style="2" customWidth="1"/>
    <col min="14374" max="14374" width="19.6640625" style="2" customWidth="1"/>
    <col min="14375" max="14375" width="24.6640625" style="2" customWidth="1"/>
    <col min="14376" max="14376" width="23.6640625" style="2" customWidth="1"/>
    <col min="14377" max="14400" width="11.44140625" style="2" customWidth="1"/>
    <col min="14401" max="14401" width="24.6640625" style="2" customWidth="1"/>
    <col min="14402" max="14402" width="23.6640625" style="2" customWidth="1"/>
    <col min="14403" max="14604" width="11.44140625" style="2"/>
    <col min="14605" max="14605" width="53.6640625" style="2" customWidth="1"/>
    <col min="14606" max="14615" width="6.6640625" style="2" customWidth="1"/>
    <col min="14616" max="14616" width="7.5546875" style="2" customWidth="1"/>
    <col min="14617" max="14617" width="5.6640625" style="2" customWidth="1"/>
    <col min="14618" max="14618" width="6.6640625" style="2" customWidth="1"/>
    <col min="14619" max="14619" width="9.6640625" style="2" customWidth="1"/>
    <col min="14620" max="14620" width="4.6640625" style="2" customWidth="1"/>
    <col min="14621" max="14621" width="12.6640625" style="2" customWidth="1"/>
    <col min="14622" max="14622" width="15.6640625" style="2" customWidth="1"/>
    <col min="14623" max="14623" width="5.6640625" style="2" customWidth="1"/>
    <col min="14624" max="14624" width="6.6640625" style="2" customWidth="1"/>
    <col min="14625" max="14625" width="19.6640625" style="2" customWidth="1"/>
    <col min="14626" max="14626" width="24.6640625" style="2" customWidth="1"/>
    <col min="14627" max="14627" width="23.6640625" style="2" customWidth="1"/>
    <col min="14628" max="14628" width="4.6640625" style="2" customWidth="1"/>
    <col min="14629" max="14629" width="6.6640625" style="2" customWidth="1"/>
    <col min="14630" max="14630" width="19.6640625" style="2" customWidth="1"/>
    <col min="14631" max="14631" width="24.6640625" style="2" customWidth="1"/>
    <col min="14632" max="14632" width="23.6640625" style="2" customWidth="1"/>
    <col min="14633" max="14656" width="11.44140625" style="2" customWidth="1"/>
    <col min="14657" max="14657" width="24.6640625" style="2" customWidth="1"/>
    <col min="14658" max="14658" width="23.6640625" style="2" customWidth="1"/>
    <col min="14659" max="14860" width="11.44140625" style="2"/>
    <col min="14861" max="14861" width="53.6640625" style="2" customWidth="1"/>
    <col min="14862" max="14871" width="6.6640625" style="2" customWidth="1"/>
    <col min="14872" max="14872" width="7.5546875" style="2" customWidth="1"/>
    <col min="14873" max="14873" width="5.6640625" style="2" customWidth="1"/>
    <col min="14874" max="14874" width="6.6640625" style="2" customWidth="1"/>
    <col min="14875" max="14875" width="9.6640625" style="2" customWidth="1"/>
    <col min="14876" max="14876" width="4.6640625" style="2" customWidth="1"/>
    <col min="14877" max="14877" width="12.6640625" style="2" customWidth="1"/>
    <col min="14878" max="14878" width="15.6640625" style="2" customWidth="1"/>
    <col min="14879" max="14879" width="5.6640625" style="2" customWidth="1"/>
    <col min="14880" max="14880" width="6.6640625" style="2" customWidth="1"/>
    <col min="14881" max="14881" width="19.6640625" style="2" customWidth="1"/>
    <col min="14882" max="14882" width="24.6640625" style="2" customWidth="1"/>
    <col min="14883" max="14883" width="23.6640625" style="2" customWidth="1"/>
    <col min="14884" max="14884" width="4.6640625" style="2" customWidth="1"/>
    <col min="14885" max="14885" width="6.6640625" style="2" customWidth="1"/>
    <col min="14886" max="14886" width="19.6640625" style="2" customWidth="1"/>
    <col min="14887" max="14887" width="24.6640625" style="2" customWidth="1"/>
    <col min="14888" max="14888" width="23.6640625" style="2" customWidth="1"/>
    <col min="14889" max="14912" width="11.44140625" style="2" customWidth="1"/>
    <col min="14913" max="14913" width="24.6640625" style="2" customWidth="1"/>
    <col min="14914" max="14914" width="23.6640625" style="2" customWidth="1"/>
    <col min="14915" max="15116" width="11.44140625" style="2"/>
    <col min="15117" max="15117" width="53.6640625" style="2" customWidth="1"/>
    <col min="15118" max="15127" width="6.6640625" style="2" customWidth="1"/>
    <col min="15128" max="15128" width="7.5546875" style="2" customWidth="1"/>
    <col min="15129" max="15129" width="5.6640625" style="2" customWidth="1"/>
    <col min="15130" max="15130" width="6.6640625" style="2" customWidth="1"/>
    <col min="15131" max="15131" width="9.6640625" style="2" customWidth="1"/>
    <col min="15132" max="15132" width="4.6640625" style="2" customWidth="1"/>
    <col min="15133" max="15133" width="12.6640625" style="2" customWidth="1"/>
    <col min="15134" max="15134" width="15.6640625" style="2" customWidth="1"/>
    <col min="15135" max="15135" width="5.6640625" style="2" customWidth="1"/>
    <col min="15136" max="15136" width="6.6640625" style="2" customWidth="1"/>
    <col min="15137" max="15137" width="19.6640625" style="2" customWidth="1"/>
    <col min="15138" max="15138" width="24.6640625" style="2" customWidth="1"/>
    <col min="15139" max="15139" width="23.6640625" style="2" customWidth="1"/>
    <col min="15140" max="15140" width="4.6640625" style="2" customWidth="1"/>
    <col min="15141" max="15141" width="6.6640625" style="2" customWidth="1"/>
    <col min="15142" max="15142" width="19.6640625" style="2" customWidth="1"/>
    <col min="15143" max="15143" width="24.6640625" style="2" customWidth="1"/>
    <col min="15144" max="15144" width="23.6640625" style="2" customWidth="1"/>
    <col min="15145" max="15168" width="11.44140625" style="2" customWidth="1"/>
    <col min="15169" max="15169" width="24.6640625" style="2" customWidth="1"/>
    <col min="15170" max="15170" width="23.6640625" style="2" customWidth="1"/>
    <col min="15171" max="15372" width="11.44140625" style="2"/>
    <col min="15373" max="15373" width="53.6640625" style="2" customWidth="1"/>
    <col min="15374" max="15383" width="6.6640625" style="2" customWidth="1"/>
    <col min="15384" max="15384" width="7.5546875" style="2" customWidth="1"/>
    <col min="15385" max="15385" width="5.6640625" style="2" customWidth="1"/>
    <col min="15386" max="15386" width="6.6640625" style="2" customWidth="1"/>
    <col min="15387" max="15387" width="9.6640625" style="2" customWidth="1"/>
    <col min="15388" max="15388" width="4.6640625" style="2" customWidth="1"/>
    <col min="15389" max="15389" width="12.6640625" style="2" customWidth="1"/>
    <col min="15390" max="15390" width="15.6640625" style="2" customWidth="1"/>
    <col min="15391" max="15391" width="5.6640625" style="2" customWidth="1"/>
    <col min="15392" max="15392" width="6.6640625" style="2" customWidth="1"/>
    <col min="15393" max="15393" width="19.6640625" style="2" customWidth="1"/>
    <col min="15394" max="15394" width="24.6640625" style="2" customWidth="1"/>
    <col min="15395" max="15395" width="23.6640625" style="2" customWidth="1"/>
    <col min="15396" max="15396" width="4.6640625" style="2" customWidth="1"/>
    <col min="15397" max="15397" width="6.6640625" style="2" customWidth="1"/>
    <col min="15398" max="15398" width="19.6640625" style="2" customWidth="1"/>
    <col min="15399" max="15399" width="24.6640625" style="2" customWidth="1"/>
    <col min="15400" max="15400" width="23.6640625" style="2" customWidth="1"/>
    <col min="15401" max="15424" width="11.44140625" style="2" customWidth="1"/>
    <col min="15425" max="15425" width="24.6640625" style="2" customWidth="1"/>
    <col min="15426" max="15426" width="23.6640625" style="2" customWidth="1"/>
    <col min="15427" max="15628" width="11.44140625" style="2"/>
    <col min="15629" max="15629" width="53.6640625" style="2" customWidth="1"/>
    <col min="15630" max="15639" width="6.6640625" style="2" customWidth="1"/>
    <col min="15640" max="15640" width="7.5546875" style="2" customWidth="1"/>
    <col min="15641" max="15641" width="5.6640625" style="2" customWidth="1"/>
    <col min="15642" max="15642" width="6.6640625" style="2" customWidth="1"/>
    <col min="15643" max="15643" width="9.6640625" style="2" customWidth="1"/>
    <col min="15644" max="15644" width="4.6640625" style="2" customWidth="1"/>
    <col min="15645" max="15645" width="12.6640625" style="2" customWidth="1"/>
    <col min="15646" max="15646" width="15.6640625" style="2" customWidth="1"/>
    <col min="15647" max="15647" width="5.6640625" style="2" customWidth="1"/>
    <col min="15648" max="15648" width="6.6640625" style="2" customWidth="1"/>
    <col min="15649" max="15649" width="19.6640625" style="2" customWidth="1"/>
    <col min="15650" max="15650" width="24.6640625" style="2" customWidth="1"/>
    <col min="15651" max="15651" width="23.6640625" style="2" customWidth="1"/>
    <col min="15652" max="15652" width="4.6640625" style="2" customWidth="1"/>
    <col min="15653" max="15653" width="6.6640625" style="2" customWidth="1"/>
    <col min="15654" max="15654" width="19.6640625" style="2" customWidth="1"/>
    <col min="15655" max="15655" width="24.6640625" style="2" customWidth="1"/>
    <col min="15656" max="15656" width="23.6640625" style="2" customWidth="1"/>
    <col min="15657" max="15680" width="11.44140625" style="2" customWidth="1"/>
    <col min="15681" max="15681" width="24.6640625" style="2" customWidth="1"/>
    <col min="15682" max="15682" width="23.6640625" style="2" customWidth="1"/>
    <col min="15683" max="15884" width="11.44140625" style="2"/>
    <col min="15885" max="15885" width="53.6640625" style="2" customWidth="1"/>
    <col min="15886" max="15895" width="6.6640625" style="2" customWidth="1"/>
    <col min="15896" max="15896" width="7.5546875" style="2" customWidth="1"/>
    <col min="15897" max="15897" width="5.6640625" style="2" customWidth="1"/>
    <col min="15898" max="15898" width="6.6640625" style="2" customWidth="1"/>
    <col min="15899" max="15899" width="9.6640625" style="2" customWidth="1"/>
    <col min="15900" max="15900" width="4.6640625" style="2" customWidth="1"/>
    <col min="15901" max="15901" width="12.6640625" style="2" customWidth="1"/>
    <col min="15902" max="15902" width="15.6640625" style="2" customWidth="1"/>
    <col min="15903" max="15903" width="5.6640625" style="2" customWidth="1"/>
    <col min="15904" max="15904" width="6.6640625" style="2" customWidth="1"/>
    <col min="15905" max="15905" width="19.6640625" style="2" customWidth="1"/>
    <col min="15906" max="15906" width="24.6640625" style="2" customWidth="1"/>
    <col min="15907" max="15907" width="23.6640625" style="2" customWidth="1"/>
    <col min="15908" max="15908" width="4.6640625" style="2" customWidth="1"/>
    <col min="15909" max="15909" width="6.6640625" style="2" customWidth="1"/>
    <col min="15910" max="15910" width="19.6640625" style="2" customWidth="1"/>
    <col min="15911" max="15911" width="24.6640625" style="2" customWidth="1"/>
    <col min="15912" max="15912" width="23.6640625" style="2" customWidth="1"/>
    <col min="15913" max="15936" width="11.44140625" style="2" customWidth="1"/>
    <col min="15937" max="15937" width="24.6640625" style="2" customWidth="1"/>
    <col min="15938" max="15938" width="23.6640625" style="2" customWidth="1"/>
    <col min="15939" max="16140" width="11.44140625" style="2"/>
    <col min="16141" max="16141" width="53.6640625" style="2" customWidth="1"/>
    <col min="16142" max="16151" width="6.6640625" style="2" customWidth="1"/>
    <col min="16152" max="16152" width="7.5546875" style="2" customWidth="1"/>
    <col min="16153" max="16153" width="5.6640625" style="2" customWidth="1"/>
    <col min="16154" max="16154" width="6.6640625" style="2" customWidth="1"/>
    <col min="16155" max="16155" width="9.6640625" style="2" customWidth="1"/>
    <col min="16156" max="16156" width="4.6640625" style="2" customWidth="1"/>
    <col min="16157" max="16157" width="12.6640625" style="2" customWidth="1"/>
    <col min="16158" max="16158" width="15.6640625" style="2" customWidth="1"/>
    <col min="16159" max="16159" width="5.6640625" style="2" customWidth="1"/>
    <col min="16160" max="16160" width="6.6640625" style="2" customWidth="1"/>
    <col min="16161" max="16161" width="19.6640625" style="2" customWidth="1"/>
    <col min="16162" max="16162" width="24.6640625" style="2" customWidth="1"/>
    <col min="16163" max="16163" width="23.6640625" style="2" customWidth="1"/>
    <col min="16164" max="16164" width="4.6640625" style="2" customWidth="1"/>
    <col min="16165" max="16165" width="6.6640625" style="2" customWidth="1"/>
    <col min="16166" max="16166" width="19.6640625" style="2" customWidth="1"/>
    <col min="16167" max="16167" width="24.6640625" style="2" customWidth="1"/>
    <col min="16168" max="16168" width="23.6640625" style="2" customWidth="1"/>
    <col min="16169" max="16192" width="11.44140625" style="2" customWidth="1"/>
    <col min="16193" max="16193" width="24.6640625" style="2" customWidth="1"/>
    <col min="16194" max="16194" width="23.6640625" style="2" customWidth="1"/>
    <col min="16195" max="16384" width="11.44140625" style="2"/>
  </cols>
  <sheetData>
    <row r="1" spans="1:257" ht="24.6" x14ac:dyDescent="0.3">
      <c r="A1" s="1" t="s">
        <v>349</v>
      </c>
      <c r="AC1" s="2"/>
      <c r="AD1" s="2"/>
      <c r="AE1" s="2"/>
      <c r="AF1" s="2"/>
      <c r="AG1" s="2"/>
      <c r="AH1" s="2"/>
      <c r="AI1" s="2"/>
      <c r="AJ1" s="2"/>
      <c r="AK1" s="2"/>
      <c r="AL1" s="2"/>
      <c r="AM1" s="2"/>
      <c r="AN1" s="2"/>
      <c r="AO1" s="2"/>
      <c r="AP1" s="2"/>
      <c r="AQ1" s="2"/>
      <c r="AR1" s="261"/>
      <c r="AS1" s="261"/>
      <c r="AT1" s="261"/>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ht="22.8" x14ac:dyDescent="0.4">
      <c r="A2" s="5"/>
      <c r="C2"/>
      <c r="Q2" s="2"/>
      <c r="R2" s="2"/>
      <c r="T2" s="570"/>
      <c r="U2" s="2" t="s">
        <v>93</v>
      </c>
      <c r="AC2" s="2"/>
      <c r="AD2" s="2"/>
      <c r="AE2" s="2"/>
      <c r="AF2" s="2"/>
      <c r="AG2" s="2"/>
      <c r="AH2" s="2"/>
      <c r="AI2" s="2"/>
      <c r="AJ2" s="2"/>
      <c r="AK2" s="2"/>
      <c r="AL2" s="2"/>
      <c r="AM2" s="2"/>
      <c r="AN2" s="2"/>
      <c r="AO2" s="2"/>
      <c r="AP2" s="2"/>
      <c r="AQ2" s="2"/>
      <c r="AR2" s="261"/>
      <c r="AS2" s="261"/>
      <c r="AT2" s="261"/>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row>
    <row r="3" spans="1:257" x14ac:dyDescent="0.3">
      <c r="A3" s="559" t="s">
        <v>362</v>
      </c>
      <c r="AC3" s="2"/>
      <c r="AD3" s="2"/>
      <c r="AE3" s="2"/>
      <c r="AF3" s="2"/>
      <c r="AG3" s="2"/>
      <c r="AH3" s="2"/>
      <c r="AI3" s="2"/>
      <c r="AJ3" s="2"/>
      <c r="AK3" s="2"/>
      <c r="AL3" s="2"/>
      <c r="AM3" s="2"/>
      <c r="AN3" s="2"/>
      <c r="AO3" s="2"/>
      <c r="AP3" s="2"/>
      <c r="AQ3" s="2"/>
      <c r="AR3" s="261"/>
      <c r="AS3" s="261"/>
      <c r="AT3" s="261"/>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x14ac:dyDescent="0.3">
      <c r="A4" s="203" t="s">
        <v>363</v>
      </c>
      <c r="B4" s="555" t="s">
        <v>342</v>
      </c>
      <c r="AC4" s="2"/>
      <c r="AD4" s="2"/>
      <c r="AE4" s="2"/>
      <c r="AF4" s="2"/>
      <c r="AG4" s="2"/>
      <c r="AH4" s="2"/>
      <c r="AI4" s="2"/>
      <c r="AJ4" s="2"/>
      <c r="AK4" s="2"/>
      <c r="AL4" s="2"/>
      <c r="AM4" s="2"/>
      <c r="AN4" s="2"/>
      <c r="AO4" s="2"/>
      <c r="AP4" s="2"/>
      <c r="AQ4" s="2"/>
      <c r="AR4" s="261"/>
      <c r="AS4" s="261"/>
      <c r="AT4" s="261"/>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row>
    <row r="5" spans="1:257" s="156" customFormat="1" ht="5.0999999999999996" customHeight="1" x14ac:dyDescent="0.3">
      <c r="A5" s="660"/>
      <c r="N5" s="661"/>
      <c r="Q5" s="146"/>
      <c r="R5" s="146"/>
      <c r="X5" s="300"/>
      <c r="Y5" s="300"/>
      <c r="Z5" s="300"/>
      <c r="AA5" s="300"/>
      <c r="AB5" s="300"/>
      <c r="AR5" s="662"/>
      <c r="AS5" s="662"/>
      <c r="AT5" s="662"/>
    </row>
    <row r="6" spans="1:257" x14ac:dyDescent="0.3">
      <c r="A6" s="203" t="s">
        <v>343</v>
      </c>
      <c r="B6" s="556" t="s">
        <v>340</v>
      </c>
      <c r="T6" s="792" t="s">
        <v>94</v>
      </c>
      <c r="U6" s="792"/>
      <c r="V6" s="792"/>
      <c r="W6" s="792"/>
      <c r="X6" s="792"/>
      <c r="Y6" s="792"/>
      <c r="Z6" s="792"/>
      <c r="AA6" s="300"/>
      <c r="AB6" s="300"/>
      <c r="AC6" s="2"/>
      <c r="AD6" s="2"/>
      <c r="AE6" s="2"/>
      <c r="AF6" s="2"/>
      <c r="AG6" s="2"/>
      <c r="AH6" s="2"/>
      <c r="AI6" s="2"/>
      <c r="AJ6" s="2"/>
      <c r="AK6" s="2"/>
      <c r="AL6" s="2"/>
      <c r="AM6" s="2"/>
      <c r="AN6" s="2"/>
      <c r="AO6" s="2"/>
      <c r="AP6" s="2"/>
      <c r="AQ6" s="2"/>
      <c r="AR6" s="261"/>
      <c r="AS6" s="261"/>
      <c r="AT6" s="261"/>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row>
    <row r="7" spans="1:257" x14ac:dyDescent="0.3">
      <c r="A7" s="203" t="s">
        <v>344</v>
      </c>
      <c r="B7" s="557" t="s">
        <v>341</v>
      </c>
      <c r="E7" s="801" t="s">
        <v>90</v>
      </c>
      <c r="F7" s="802"/>
      <c r="G7" s="802"/>
      <c r="H7" s="803"/>
      <c r="J7" s="804"/>
      <c r="K7" s="805"/>
      <c r="L7" s="806"/>
      <c r="T7" s="571">
        <v>1</v>
      </c>
      <c r="U7" s="653" t="s">
        <v>168</v>
      </c>
      <c r="V7" s="653" t="s">
        <v>369</v>
      </c>
      <c r="W7" s="653" t="s">
        <v>173</v>
      </c>
      <c r="X7" s="653" t="s">
        <v>14</v>
      </c>
      <c r="Y7" s="656"/>
      <c r="Z7" s="657"/>
      <c r="AA7" s="605" t="s">
        <v>399</v>
      </c>
      <c r="AB7" s="300"/>
      <c r="AC7" s="2"/>
      <c r="AD7" s="2"/>
      <c r="AE7" s="2"/>
      <c r="AF7" s="2"/>
      <c r="AG7" s="2"/>
      <c r="AH7" s="2"/>
      <c r="AI7" s="2"/>
      <c r="AJ7" s="2"/>
      <c r="AK7" s="2"/>
      <c r="AL7" s="2"/>
      <c r="AM7" s="2"/>
      <c r="AN7" s="2"/>
      <c r="AO7" s="2"/>
      <c r="AP7" s="2"/>
      <c r="AQ7" s="2"/>
      <c r="AR7" s="261"/>
      <c r="AS7" s="261"/>
      <c r="AT7" s="261"/>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x14ac:dyDescent="0.3">
      <c r="T8" s="438">
        <v>2</v>
      </c>
      <c r="U8" s="3" t="s">
        <v>168</v>
      </c>
      <c r="V8" s="3" t="s">
        <v>369</v>
      </c>
      <c r="W8" s="3" t="s">
        <v>166</v>
      </c>
      <c r="X8" s="3" t="s">
        <v>14</v>
      </c>
      <c r="Y8" s="36"/>
      <c r="Z8" s="214"/>
      <c r="AA8" s="605" t="s">
        <v>399</v>
      </c>
      <c r="AB8" s="300"/>
      <c r="AC8" s="2"/>
      <c r="AD8" s="2"/>
      <c r="AE8" s="2"/>
      <c r="AF8" s="2"/>
      <c r="AG8" s="2"/>
      <c r="AH8" s="2"/>
      <c r="AI8" s="2"/>
      <c r="AJ8" s="2"/>
      <c r="AK8" s="2"/>
      <c r="AL8" s="2"/>
      <c r="AM8" s="2"/>
      <c r="AN8" s="2"/>
      <c r="AO8" s="2"/>
      <c r="AP8" s="2"/>
      <c r="AQ8" s="2"/>
      <c r="AR8" s="261"/>
      <c r="AS8" s="261"/>
      <c r="AT8" s="261"/>
      <c r="AU8" s="2"/>
      <c r="AV8" s="2"/>
      <c r="AW8" s="2"/>
      <c r="AX8" s="2"/>
      <c r="AY8" s="2"/>
      <c r="AZ8" s="2"/>
      <c r="BA8" s="2"/>
      <c r="BB8" s="2"/>
      <c r="BC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row>
    <row r="9" spans="1:257" ht="17.399999999999999" x14ac:dyDescent="0.3">
      <c r="B9" s="807"/>
      <c r="C9" s="808"/>
      <c r="D9" s="808"/>
      <c r="E9" s="808"/>
      <c r="F9" s="808"/>
      <c r="G9" s="808"/>
      <c r="H9" s="808"/>
      <c r="I9" s="808"/>
      <c r="J9" s="808"/>
      <c r="K9" s="808"/>
      <c r="L9" s="808"/>
      <c r="M9" s="808"/>
      <c r="N9" s="808"/>
      <c r="O9" s="809"/>
      <c r="P9" s="810" t="s">
        <v>304</v>
      </c>
      <c r="Q9" s="811"/>
      <c r="R9" s="812"/>
      <c r="T9" s="438">
        <v>15</v>
      </c>
      <c r="U9" s="172" t="s">
        <v>168</v>
      </c>
      <c r="V9" s="172" t="s">
        <v>370</v>
      </c>
      <c r="W9" s="172" t="s">
        <v>371</v>
      </c>
      <c r="X9" s="172" t="s">
        <v>14</v>
      </c>
      <c r="Y9" s="36"/>
      <c r="Z9" s="214"/>
      <c r="AA9" s="605" t="s">
        <v>399</v>
      </c>
      <c r="AB9" s="300"/>
      <c r="AC9" s="2"/>
      <c r="AD9" s="2"/>
      <c r="AE9" s="2"/>
      <c r="AF9" s="2"/>
      <c r="AG9" s="2"/>
      <c r="AH9" s="2"/>
      <c r="AI9" s="2"/>
      <c r="AJ9" s="2"/>
      <c r="AK9" s="2"/>
      <c r="AL9" s="2"/>
      <c r="AM9" s="2"/>
      <c r="AN9" s="2"/>
      <c r="AO9" s="2"/>
      <c r="AP9" s="2"/>
      <c r="AQ9" s="2"/>
      <c r="AR9" s="261"/>
      <c r="AS9" s="261"/>
      <c r="AT9" s="261"/>
      <c r="AU9" s="2"/>
      <c r="AV9" s="2"/>
      <c r="AW9" s="2"/>
      <c r="AX9" s="2"/>
      <c r="AY9" s="2"/>
      <c r="AZ9" s="2"/>
      <c r="BA9" s="2"/>
      <c r="BB9" s="2"/>
      <c r="BC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x14ac:dyDescent="0.3">
      <c r="B10" s="748" t="s">
        <v>91</v>
      </c>
      <c r="C10" s="749"/>
      <c r="D10" s="749"/>
      <c r="E10" s="749"/>
      <c r="F10" s="749"/>
      <c r="G10" s="749"/>
      <c r="H10" s="749"/>
      <c r="I10" s="749"/>
      <c r="J10" s="749"/>
      <c r="K10" s="749"/>
      <c r="L10" s="749"/>
      <c r="M10" s="750"/>
      <c r="N10" s="748" t="s">
        <v>92</v>
      </c>
      <c r="O10" s="750"/>
      <c r="P10" s="798" t="s">
        <v>1</v>
      </c>
      <c r="Q10" s="799"/>
      <c r="R10" s="800"/>
      <c r="T10" s="438">
        <v>3</v>
      </c>
      <c r="U10" s="172" t="s">
        <v>168</v>
      </c>
      <c r="V10" s="172" t="s">
        <v>369</v>
      </c>
      <c r="W10" s="172" t="s">
        <v>167</v>
      </c>
      <c r="X10" s="172" t="s">
        <v>15</v>
      </c>
      <c r="Y10" s="36"/>
      <c r="Z10" s="214"/>
      <c r="AA10" s="605" t="s">
        <v>400</v>
      </c>
      <c r="AB10" s="300"/>
      <c r="AC10" s="2"/>
      <c r="AD10" s="2"/>
      <c r="AE10" s="2"/>
      <c r="AF10" s="2"/>
      <c r="AG10" s="2"/>
      <c r="AH10" s="2"/>
      <c r="AI10" s="2"/>
      <c r="AJ10" s="2"/>
      <c r="AK10" s="2"/>
      <c r="AL10" s="2"/>
      <c r="AM10" s="2"/>
      <c r="AN10" s="2"/>
      <c r="AO10" s="2"/>
      <c r="AP10" s="2"/>
      <c r="AQ10" s="2"/>
      <c r="AR10" s="261"/>
      <c r="AS10" s="261"/>
      <c r="AT10" s="261"/>
      <c r="AU10" s="2"/>
      <c r="AV10" s="2"/>
      <c r="AW10" s="2"/>
      <c r="AX10" s="2"/>
      <c r="AY10" s="2"/>
      <c r="AZ10" s="2"/>
      <c r="BA10" s="2"/>
      <c r="BB10" s="2"/>
      <c r="BC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row>
    <row r="11" spans="1:257" ht="17.399999999999999" x14ac:dyDescent="0.3">
      <c r="B11" s="6"/>
      <c r="C11" s="7"/>
      <c r="D11" s="7"/>
      <c r="E11" s="7"/>
      <c r="F11" s="7"/>
      <c r="G11" s="7"/>
      <c r="H11" s="7"/>
      <c r="I11" s="7"/>
      <c r="J11" s="7"/>
      <c r="K11" s="7"/>
      <c r="L11" s="7"/>
      <c r="M11" s="8"/>
      <c r="N11" s="6"/>
      <c r="O11" s="8"/>
      <c r="P11" s="816" t="e">
        <f>'Classement EA'!$B$6</f>
        <v>#N/A</v>
      </c>
      <c r="Q11" s="817"/>
      <c r="R11" s="818"/>
      <c r="T11" s="438">
        <v>16</v>
      </c>
      <c r="U11" s="172" t="s">
        <v>168</v>
      </c>
      <c r="V11" s="172" t="s">
        <v>370</v>
      </c>
      <c r="W11" s="172" t="s">
        <v>167</v>
      </c>
      <c r="X11" s="172" t="s">
        <v>15</v>
      </c>
      <c r="Y11" s="36"/>
      <c r="Z11" s="214"/>
      <c r="AA11" s="605" t="s">
        <v>401</v>
      </c>
      <c r="AB11" s="300"/>
      <c r="AC11" s="2"/>
      <c r="AD11" s="2"/>
      <c r="AE11" s="2"/>
      <c r="AF11" s="2"/>
      <c r="AG11" s="2"/>
      <c r="AH11" s="2"/>
      <c r="AI11" s="2"/>
      <c r="AJ11" s="2"/>
      <c r="AK11" s="2"/>
      <c r="AL11" s="2"/>
      <c r="AM11" s="2"/>
      <c r="AN11" s="2"/>
      <c r="AO11" s="2"/>
      <c r="AP11" s="2"/>
      <c r="AQ11" s="2"/>
      <c r="AR11" s="261"/>
      <c r="AS11" s="261"/>
      <c r="AT11" s="261"/>
      <c r="AU11" s="2"/>
      <c r="AV11" s="2"/>
      <c r="AW11" s="2"/>
      <c r="AX11" s="2"/>
      <c r="AY11" s="2"/>
      <c r="AZ11" s="2"/>
      <c r="BA11" s="2"/>
      <c r="BB11" s="2"/>
      <c r="BC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row>
    <row r="12" spans="1:257" x14ac:dyDescent="0.3">
      <c r="B12" s="745"/>
      <c r="C12" s="746"/>
      <c r="D12" s="746"/>
      <c r="E12" s="746"/>
      <c r="F12" s="746"/>
      <c r="G12" s="746"/>
      <c r="H12" s="746"/>
      <c r="I12" s="746"/>
      <c r="J12" s="746"/>
      <c r="K12" s="746"/>
      <c r="L12" s="746"/>
      <c r="M12" s="747"/>
      <c r="N12" s="745"/>
      <c r="O12" s="747"/>
      <c r="P12" s="819" t="e">
        <f>'Classement EA'!$B$7</f>
        <v>#N/A</v>
      </c>
      <c r="Q12" s="820"/>
      <c r="R12" s="821"/>
      <c r="T12" s="438">
        <v>4</v>
      </c>
      <c r="U12" s="172" t="s">
        <v>168</v>
      </c>
      <c r="V12" s="172" t="s">
        <v>369</v>
      </c>
      <c r="W12" s="172" t="s">
        <v>169</v>
      </c>
      <c r="X12" s="172" t="s">
        <v>15</v>
      </c>
      <c r="Y12" s="36"/>
      <c r="Z12" s="214"/>
      <c r="AA12" s="605" t="s">
        <v>306</v>
      </c>
      <c r="AB12" s="300"/>
      <c r="AC12" s="2"/>
      <c r="AD12" s="2"/>
      <c r="AE12" s="2"/>
      <c r="AF12" s="2"/>
      <c r="AG12" s="2"/>
      <c r="AH12" s="2"/>
      <c r="AI12" s="2"/>
      <c r="AJ12" s="2"/>
      <c r="AK12" s="2"/>
      <c r="AL12" s="2"/>
      <c r="AM12" s="2"/>
      <c r="AN12" s="2"/>
      <c r="AO12" s="2"/>
      <c r="AP12" s="2"/>
      <c r="AQ12" s="2"/>
      <c r="AR12" s="261"/>
      <c r="AS12" s="261"/>
      <c r="AT12" s="261"/>
      <c r="AU12" s="2"/>
      <c r="AV12" s="2"/>
      <c r="AW12" s="2"/>
      <c r="AX12" s="2"/>
      <c r="AY12" s="2"/>
      <c r="AZ12" s="2"/>
      <c r="BA12" s="2"/>
      <c r="BB12" s="2"/>
      <c r="BC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row>
    <row r="13" spans="1:257" x14ac:dyDescent="0.3">
      <c r="B13" s="9"/>
      <c r="C13" s="10"/>
      <c r="D13" s="10"/>
      <c r="E13" s="10"/>
      <c r="F13" s="10"/>
      <c r="G13" s="10"/>
      <c r="H13" s="10"/>
      <c r="I13" s="10"/>
      <c r="J13" s="10"/>
      <c r="K13" s="10"/>
      <c r="L13" s="10"/>
      <c r="M13" s="11"/>
      <c r="N13" s="9"/>
      <c r="O13" s="11"/>
      <c r="P13" s="822" t="e">
        <f>'Classement EA'!$B$8</f>
        <v>#N/A</v>
      </c>
      <c r="Q13" s="823"/>
      <c r="R13" s="824"/>
      <c r="T13" s="572">
        <v>5</v>
      </c>
      <c r="U13" s="37" t="s">
        <v>168</v>
      </c>
      <c r="V13" s="37" t="s">
        <v>369</v>
      </c>
      <c r="W13" s="655" t="s">
        <v>99</v>
      </c>
      <c r="X13" s="37" t="s">
        <v>16</v>
      </c>
      <c r="Y13" s="229"/>
      <c r="Z13" s="230"/>
      <c r="AA13" s="605" t="s">
        <v>306</v>
      </c>
      <c r="AB13" s="300"/>
      <c r="AC13" s="2"/>
      <c r="AD13" s="2"/>
      <c r="AE13" s="2"/>
      <c r="AF13" s="2"/>
      <c r="AG13" s="2"/>
      <c r="AH13" s="2"/>
      <c r="AI13" s="2"/>
      <c r="AJ13" s="2"/>
      <c r="AK13" s="2"/>
      <c r="AL13" s="2"/>
      <c r="AM13" s="2"/>
      <c r="AN13" s="2"/>
      <c r="AO13" s="2"/>
      <c r="AP13" s="2"/>
      <c r="AQ13" s="2"/>
      <c r="AR13" s="261"/>
      <c r="AS13" s="261"/>
      <c r="AT13" s="261"/>
      <c r="AU13" s="2"/>
      <c r="AV13" s="2"/>
      <c r="AW13" s="2"/>
      <c r="AX13" s="2"/>
      <c r="AY13" s="2"/>
      <c r="AZ13" s="2"/>
      <c r="BA13" s="2"/>
      <c r="BB13" s="2"/>
      <c r="BC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row>
    <row r="14" spans="1:257" ht="8.1" customHeight="1" x14ac:dyDescent="0.3">
      <c r="A14" s="12"/>
      <c r="B14" s="13"/>
      <c r="C14" s="14"/>
      <c r="D14" s="14"/>
      <c r="E14" s="14"/>
      <c r="F14" s="14"/>
      <c r="G14" s="14"/>
      <c r="H14" s="14"/>
      <c r="I14" s="14"/>
      <c r="J14" s="14"/>
      <c r="K14" s="14"/>
      <c r="L14" s="14"/>
      <c r="M14" s="14"/>
      <c r="N14" s="13"/>
      <c r="O14" s="15"/>
      <c r="P14" s="13"/>
      <c r="Q14" s="16"/>
      <c r="R14" s="17"/>
      <c r="AA14" s="300"/>
      <c r="AB14" s="300"/>
      <c r="AC14" s="2"/>
      <c r="AD14" s="2"/>
      <c r="AE14" s="2"/>
      <c r="AF14" s="2"/>
      <c r="AG14" s="2"/>
      <c r="AH14" s="2"/>
      <c r="AI14" s="2"/>
      <c r="AJ14" s="2"/>
      <c r="AK14" s="2"/>
      <c r="AL14" s="2"/>
      <c r="AM14" s="2"/>
      <c r="AN14" s="2"/>
      <c r="AO14" s="2"/>
      <c r="AP14" s="2"/>
      <c r="AQ14" s="2"/>
      <c r="AR14" s="261"/>
      <c r="AS14" s="261"/>
      <c r="AT14" s="261"/>
      <c r="AU14" s="2"/>
      <c r="AV14" s="2"/>
      <c r="AW14" s="2"/>
      <c r="AX14" s="2"/>
      <c r="AY14" s="2"/>
      <c r="AZ14" s="2"/>
      <c r="BA14" s="2"/>
      <c r="BB14" s="2"/>
      <c r="BC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ht="15.6" x14ac:dyDescent="0.3">
      <c r="A15" s="18" t="s">
        <v>19</v>
      </c>
      <c r="B15" s="19"/>
      <c r="C15" s="20"/>
      <c r="D15" s="20"/>
      <c r="E15" s="20"/>
      <c r="F15" s="20"/>
      <c r="G15" s="20"/>
      <c r="H15" s="20"/>
      <c r="I15" s="20"/>
      <c r="J15" s="20"/>
      <c r="K15" s="20"/>
      <c r="L15" s="20"/>
      <c r="M15" s="20"/>
      <c r="N15" s="19"/>
      <c r="O15" s="21"/>
      <c r="P15" s="19"/>
      <c r="R15" s="22"/>
      <c r="Y15" s="2"/>
      <c r="Z15" s="2"/>
      <c r="AA15" s="156"/>
      <c r="AB15" s="156"/>
      <c r="AC15" s="2"/>
      <c r="AD15" s="2"/>
      <c r="AE15" s="2"/>
      <c r="AF15" s="2"/>
      <c r="AG15" s="2"/>
      <c r="AH15" s="2"/>
      <c r="AI15" s="2"/>
      <c r="AJ15" s="2"/>
      <c r="AK15" s="2"/>
      <c r="AL15" s="2"/>
      <c r="AM15" s="2"/>
      <c r="AN15" s="2"/>
      <c r="AO15" s="2"/>
      <c r="AP15" s="2"/>
      <c r="AQ15" s="2"/>
      <c r="AR15" s="261"/>
      <c r="AS15" s="261"/>
      <c r="AT15" s="261"/>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row>
    <row r="16" spans="1:257" ht="8.1" customHeight="1" x14ac:dyDescent="0.3">
      <c r="A16" s="23"/>
      <c r="B16" s="23"/>
      <c r="C16" s="24"/>
      <c r="D16" s="24"/>
      <c r="E16" s="24"/>
      <c r="F16" s="24"/>
      <c r="G16" s="24"/>
      <c r="H16" s="24"/>
      <c r="I16" s="24"/>
      <c r="J16" s="24"/>
      <c r="K16" s="24"/>
      <c r="L16" s="24"/>
      <c r="M16" s="24"/>
      <c r="N16" s="23"/>
      <c r="O16" s="25"/>
      <c r="P16" s="23"/>
      <c r="Q16" s="24"/>
      <c r="R16" s="25"/>
      <c r="AA16" s="300"/>
      <c r="AB16" s="300"/>
      <c r="AC16" s="2"/>
      <c r="AD16" s="2"/>
      <c r="AE16" s="2"/>
      <c r="AF16" s="2"/>
      <c r="AG16" s="2"/>
      <c r="AH16" s="2"/>
      <c r="AI16" s="2"/>
      <c r="AJ16" s="2"/>
      <c r="AK16" s="2"/>
      <c r="AL16" s="2"/>
      <c r="AM16" s="2"/>
      <c r="AN16" s="2"/>
      <c r="AO16" s="2"/>
      <c r="AP16" s="2"/>
      <c r="AQ16" s="2"/>
      <c r="AR16" s="261"/>
      <c r="AS16" s="261"/>
      <c r="AT16" s="261"/>
      <c r="AU16" s="2"/>
      <c r="AV16" s="2"/>
      <c r="AW16" s="2"/>
      <c r="AX16" s="2"/>
      <c r="AY16" s="2"/>
      <c r="AZ16" s="2"/>
      <c r="BA16" s="2"/>
      <c r="BB16" s="2"/>
      <c r="BC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row>
    <row r="17" spans="1:257" x14ac:dyDescent="0.3">
      <c r="A17" s="26" t="s">
        <v>20</v>
      </c>
      <c r="B17" s="145"/>
      <c r="C17" s="148"/>
      <c r="D17" s="148"/>
      <c r="E17" s="148"/>
      <c r="F17" s="148"/>
      <c r="G17" s="148"/>
      <c r="H17" s="148"/>
      <c r="I17" s="148"/>
      <c r="J17" s="148"/>
      <c r="K17" s="148"/>
      <c r="L17" s="176"/>
      <c r="M17" s="28" t="s">
        <v>96</v>
      </c>
      <c r="N17" s="29"/>
      <c r="O17" s="22"/>
      <c r="P17" s="26"/>
      <c r="R17" s="22"/>
      <c r="T17" s="793" t="s">
        <v>95</v>
      </c>
      <c r="U17" s="793"/>
      <c r="V17" s="793"/>
      <c r="W17" s="793"/>
      <c r="X17" s="793"/>
      <c r="Y17" s="793"/>
      <c r="Z17" s="793"/>
      <c r="AA17" s="156"/>
      <c r="AB17" s="156"/>
      <c r="AC17" s="2"/>
      <c r="AD17" s="2"/>
      <c r="AE17" s="2"/>
      <c r="AF17" s="2"/>
      <c r="AG17" s="2"/>
      <c r="AH17" s="2"/>
      <c r="AI17" s="2"/>
      <c r="AJ17" s="2"/>
      <c r="AK17" s="2"/>
      <c r="AL17" s="2"/>
      <c r="AM17" s="2"/>
      <c r="AN17" s="2"/>
      <c r="AO17" s="2"/>
      <c r="AP17" s="2"/>
      <c r="AQ17" s="2"/>
      <c r="AR17" s="261"/>
      <c r="AS17" s="261"/>
      <c r="AT17" s="261"/>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row>
    <row r="18" spans="1:257" x14ac:dyDescent="0.3">
      <c r="A18" s="26" t="s">
        <v>21</v>
      </c>
      <c r="B18" s="145"/>
      <c r="C18" s="148"/>
      <c r="D18" s="148"/>
      <c r="E18" s="148"/>
      <c r="F18" s="148"/>
      <c r="G18" s="148"/>
      <c r="H18" s="148"/>
      <c r="I18" s="148"/>
      <c r="J18" s="148"/>
      <c r="K18" s="148"/>
      <c r="L18" s="176"/>
      <c r="M18" s="28" t="s">
        <v>96</v>
      </c>
      <c r="N18" s="30" t="e">
        <f>L18/L17*100</f>
        <v>#DIV/0!</v>
      </c>
      <c r="O18" s="31" t="s">
        <v>22</v>
      </c>
      <c r="P18" s="32"/>
      <c r="Q18" s="33" t="e">
        <f>'Classement EA'!C13</f>
        <v>#N/A</v>
      </c>
      <c r="R18" s="34" t="s">
        <v>22</v>
      </c>
      <c r="T18" s="571">
        <v>6</v>
      </c>
      <c r="U18" s="653" t="s">
        <v>168</v>
      </c>
      <c r="V18" s="653" t="s">
        <v>369</v>
      </c>
      <c r="W18" s="653" t="s">
        <v>175</v>
      </c>
      <c r="X18" s="654" t="s">
        <v>284</v>
      </c>
      <c r="Y18" s="656"/>
      <c r="Z18" s="654"/>
      <c r="AA18" s="605" t="s">
        <v>306</v>
      </c>
      <c r="AB18" s="156"/>
      <c r="AC18" s="2"/>
      <c r="AD18" s="2"/>
      <c r="AE18" s="2"/>
      <c r="AF18" s="2"/>
      <c r="AG18" s="2"/>
      <c r="AH18" s="2"/>
      <c r="AI18" s="2"/>
      <c r="AJ18" s="2"/>
      <c r="AK18" s="2"/>
      <c r="AL18" s="2"/>
      <c r="AM18" s="2"/>
      <c r="AN18" s="2"/>
      <c r="AO18" s="2"/>
      <c r="AP18" s="2"/>
      <c r="AQ18" s="2"/>
      <c r="AR18" s="261"/>
      <c r="AS18" s="261"/>
      <c r="AT18" s="261"/>
      <c r="AU18" s="2"/>
      <c r="AV18" s="2"/>
      <c r="AW18" s="2"/>
      <c r="AX18" s="2"/>
      <c r="AY18" s="2"/>
      <c r="AZ18" s="2"/>
      <c r="BA18" s="2"/>
      <c r="BB18" s="2"/>
      <c r="BC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row>
    <row r="19" spans="1:257" x14ac:dyDescent="0.3">
      <c r="A19" s="26" t="s">
        <v>23</v>
      </c>
      <c r="B19" s="145"/>
      <c r="C19" s="148"/>
      <c r="D19" s="148"/>
      <c r="E19" s="148"/>
      <c r="F19" s="148"/>
      <c r="G19" s="148"/>
      <c r="H19" s="148"/>
      <c r="I19" s="148"/>
      <c r="J19" s="148"/>
      <c r="K19" s="148"/>
      <c r="L19" s="176"/>
      <c r="M19" s="28" t="s">
        <v>96</v>
      </c>
      <c r="N19" s="30" t="e">
        <f>L19/L18*100</f>
        <v>#DIV/0!</v>
      </c>
      <c r="O19" s="31" t="s">
        <v>22</v>
      </c>
      <c r="P19" s="32"/>
      <c r="Q19" s="27" t="e">
        <f>'Classement EA'!C14</f>
        <v>#N/A</v>
      </c>
      <c r="R19" s="35" t="s">
        <v>22</v>
      </c>
      <c r="T19" s="438">
        <v>7</v>
      </c>
      <c r="U19" s="3" t="s">
        <v>168</v>
      </c>
      <c r="V19" s="3" t="s">
        <v>369</v>
      </c>
      <c r="W19" s="142" t="s">
        <v>174</v>
      </c>
      <c r="X19" s="277" t="s">
        <v>280</v>
      </c>
      <c r="Y19" s="36"/>
      <c r="Z19" s="22"/>
      <c r="AA19" s="605" t="s">
        <v>306</v>
      </c>
      <c r="AB19" s="156"/>
      <c r="AC19" s="2"/>
      <c r="AD19" s="2"/>
      <c r="AE19" s="2"/>
      <c r="AF19" s="2"/>
      <c r="AG19" s="2"/>
      <c r="AH19" s="2"/>
      <c r="AI19" s="2"/>
      <c r="AJ19" s="2"/>
      <c r="AK19" s="2"/>
      <c r="AL19" s="2"/>
      <c r="AM19" s="2"/>
      <c r="AN19" s="2"/>
      <c r="AO19" s="2"/>
      <c r="AP19" s="2"/>
      <c r="AQ19" s="2"/>
      <c r="AR19" s="261"/>
      <c r="AS19" s="261"/>
      <c r="AT19" s="261"/>
      <c r="AU19" s="2"/>
      <c r="AV19" s="2"/>
      <c r="AW19" s="2"/>
      <c r="AX19" s="2"/>
      <c r="AY19" s="2"/>
      <c r="AZ19" s="2"/>
      <c r="BA19" s="2"/>
      <c r="BB19" s="2"/>
      <c r="BC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x14ac:dyDescent="0.3">
      <c r="A20" s="26" t="s">
        <v>26</v>
      </c>
      <c r="B20" s="145"/>
      <c r="C20" s="149"/>
      <c r="D20" s="149"/>
      <c r="E20" s="149"/>
      <c r="F20" s="149"/>
      <c r="G20" s="149"/>
      <c r="H20" s="149"/>
      <c r="I20" s="149"/>
      <c r="J20" s="149"/>
      <c r="K20" s="149"/>
      <c r="L20" s="176"/>
      <c r="M20" s="28" t="s">
        <v>27</v>
      </c>
      <c r="N20" s="30">
        <f>L20</f>
        <v>0</v>
      </c>
      <c r="O20" s="31" t="s">
        <v>27</v>
      </c>
      <c r="P20" s="32"/>
      <c r="Q20" s="33" t="e">
        <f>'Classement EA'!C15</f>
        <v>#N/A</v>
      </c>
      <c r="R20" s="34" t="s">
        <v>27</v>
      </c>
      <c r="T20" s="438">
        <v>8</v>
      </c>
      <c r="U20" s="3" t="s">
        <v>168</v>
      </c>
      <c r="V20" s="3" t="s">
        <v>369</v>
      </c>
      <c r="W20" s="142" t="s">
        <v>97</v>
      </c>
      <c r="X20" s="277" t="s">
        <v>257</v>
      </c>
      <c r="Y20" s="36"/>
      <c r="Z20" s="22"/>
      <c r="AA20" s="4" t="s">
        <v>399</v>
      </c>
      <c r="AB20" s="156"/>
      <c r="AC20" s="2"/>
      <c r="AD20" s="2"/>
      <c r="AE20" s="2"/>
      <c r="AF20" s="2"/>
      <c r="AG20" s="2"/>
      <c r="AH20" s="2"/>
      <c r="AI20" s="2"/>
      <c r="AJ20" s="2"/>
      <c r="AK20" s="2"/>
      <c r="AL20" s="2"/>
      <c r="AM20" s="2"/>
      <c r="AN20" s="2"/>
      <c r="AO20" s="2"/>
      <c r="AP20" s="2"/>
      <c r="AQ20" s="2"/>
      <c r="AR20" s="261"/>
      <c r="AS20" s="261"/>
      <c r="AT20" s="261"/>
      <c r="AU20" s="2"/>
      <c r="AV20" s="2"/>
      <c r="AW20" s="2"/>
      <c r="AX20" s="2"/>
      <c r="AY20" s="2"/>
      <c r="AZ20" s="2"/>
      <c r="BA20" s="2"/>
      <c r="BB20" s="2"/>
      <c r="BC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row>
    <row r="21" spans="1:257" x14ac:dyDescent="0.3">
      <c r="A21" s="26" t="s">
        <v>98</v>
      </c>
      <c r="B21" s="145"/>
      <c r="C21" s="148"/>
      <c r="D21" s="148"/>
      <c r="E21" s="148"/>
      <c r="F21" s="148"/>
      <c r="G21" s="148"/>
      <c r="H21" s="148"/>
      <c r="I21" s="148"/>
      <c r="J21" s="148"/>
      <c r="K21" s="148"/>
      <c r="L21" s="176"/>
      <c r="M21" s="28" t="s">
        <v>96</v>
      </c>
      <c r="N21" s="30" t="e">
        <f>L21/L17*100</f>
        <v>#DIV/0!</v>
      </c>
      <c r="O21" s="31" t="s">
        <v>22</v>
      </c>
      <c r="P21" s="32"/>
      <c r="Q21" s="33" t="e">
        <f>'Classement EA'!C16</f>
        <v>#N/A</v>
      </c>
      <c r="R21" s="34" t="s">
        <v>22</v>
      </c>
      <c r="T21" s="438">
        <v>9</v>
      </c>
      <c r="U21" s="172" t="s">
        <v>170</v>
      </c>
      <c r="V21" s="172" t="s">
        <v>369</v>
      </c>
      <c r="W21" s="425" t="s">
        <v>176</v>
      </c>
      <c r="X21" s="277" t="s">
        <v>280</v>
      </c>
      <c r="Y21" s="36"/>
      <c r="Z21" s="22"/>
      <c r="AA21" s="605" t="s">
        <v>306</v>
      </c>
      <c r="AB21" s="156"/>
      <c r="AC21" s="2"/>
      <c r="AD21" s="2"/>
      <c r="AE21" s="2"/>
      <c r="AF21" s="2"/>
      <c r="AG21" s="2"/>
      <c r="AH21" s="2"/>
      <c r="AI21" s="2"/>
      <c r="AJ21" s="2"/>
      <c r="AK21" s="2"/>
      <c r="AL21" s="2"/>
      <c r="AM21" s="2"/>
      <c r="AN21" s="2"/>
      <c r="AO21" s="2"/>
      <c r="AP21" s="2"/>
      <c r="AQ21" s="2"/>
      <c r="AR21" s="261"/>
      <c r="AS21" s="261"/>
      <c r="AT21" s="261"/>
      <c r="AU21" s="2"/>
      <c r="AV21" s="2"/>
      <c r="AW21" s="2"/>
      <c r="AX21" s="2"/>
      <c r="AY21" s="2"/>
      <c r="AZ21" s="2"/>
      <c r="BA21" s="2"/>
      <c r="BB21" s="2"/>
      <c r="BC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row>
    <row r="22" spans="1:257" x14ac:dyDescent="0.3">
      <c r="A22" s="26" t="s">
        <v>30</v>
      </c>
      <c r="B22" s="145"/>
      <c r="C22" s="148"/>
      <c r="D22" s="148"/>
      <c r="E22" s="148"/>
      <c r="F22" s="148"/>
      <c r="G22" s="148"/>
      <c r="H22" s="148"/>
      <c r="I22" s="148"/>
      <c r="J22" s="148"/>
      <c r="K22" s="148"/>
      <c r="L22" s="176"/>
      <c r="M22" s="28" t="s">
        <v>96</v>
      </c>
      <c r="N22" s="30" t="e">
        <f>L22/L17*100</f>
        <v>#DIV/0!</v>
      </c>
      <c r="O22" s="31" t="s">
        <v>22</v>
      </c>
      <c r="P22" s="32"/>
      <c r="Q22" s="33" t="e">
        <f>'Classement EA'!C17</f>
        <v>#N/A</v>
      </c>
      <c r="R22" s="34" t="s">
        <v>22</v>
      </c>
      <c r="T22" s="438">
        <v>10</v>
      </c>
      <c r="U22" s="3" t="s">
        <v>171</v>
      </c>
      <c r="V22" s="3" t="s">
        <v>369</v>
      </c>
      <c r="W22" s="172" t="s">
        <v>176</v>
      </c>
      <c r="X22" s="279" t="s">
        <v>257</v>
      </c>
      <c r="Y22" s="36"/>
      <c r="Z22" s="22"/>
      <c r="AA22" s="4" t="s">
        <v>401</v>
      </c>
      <c r="AB22" s="156"/>
      <c r="AC22" s="2"/>
      <c r="AD22" s="2"/>
      <c r="AE22" s="2"/>
      <c r="AF22" s="2"/>
      <c r="AG22" s="2"/>
      <c r="AH22" s="2"/>
      <c r="AI22" s="2"/>
      <c r="AJ22" s="2"/>
      <c r="AK22" s="2"/>
      <c r="AL22" s="2"/>
      <c r="AM22" s="2"/>
      <c r="AN22" s="2"/>
      <c r="AO22" s="2"/>
      <c r="AP22" s="2"/>
      <c r="AQ22" s="2"/>
      <c r="AR22" s="261"/>
      <c r="AS22" s="261"/>
      <c r="AT22" s="261"/>
      <c r="AU22" s="2"/>
      <c r="AV22" s="2"/>
      <c r="AW22" s="2"/>
      <c r="AX22" s="2"/>
      <c r="AY22" s="2"/>
      <c r="AZ22" s="2"/>
      <c r="BA22" s="2"/>
      <c r="BB22" s="2"/>
      <c r="BC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row>
    <row r="23" spans="1:257" x14ac:dyDescent="0.3">
      <c r="A23" s="39" t="s">
        <v>100</v>
      </c>
      <c r="B23" s="145"/>
      <c r="C23" s="148"/>
      <c r="D23" s="148"/>
      <c r="E23" s="148"/>
      <c r="F23" s="148"/>
      <c r="G23" s="148"/>
      <c r="H23" s="148"/>
      <c r="I23" s="148"/>
      <c r="J23" s="148"/>
      <c r="K23" s="148"/>
      <c r="L23" s="176"/>
      <c r="M23" s="28" t="s">
        <v>96</v>
      </c>
      <c r="N23" s="30">
        <f>IF(L22=0,0,((L23/L22)*100))</f>
        <v>0</v>
      </c>
      <c r="O23" s="31" t="s">
        <v>22</v>
      </c>
      <c r="P23" s="32"/>
      <c r="Q23" s="33" t="e">
        <f>'Classement EA'!C18</f>
        <v>#N/A</v>
      </c>
      <c r="R23" s="34" t="s">
        <v>22</v>
      </c>
      <c r="T23" s="438">
        <v>11</v>
      </c>
      <c r="U23" s="3" t="s">
        <v>172</v>
      </c>
      <c r="V23" s="3" t="s">
        <v>369</v>
      </c>
      <c r="W23" s="172" t="s">
        <v>177</v>
      </c>
      <c r="X23" s="22" t="s">
        <v>179</v>
      </c>
      <c r="Y23" s="36"/>
      <c r="Z23" s="22"/>
      <c r="AA23" s="4" t="s">
        <v>306</v>
      </c>
      <c r="AB23" s="156"/>
      <c r="AC23" s="2"/>
      <c r="AD23" s="2"/>
      <c r="AE23" s="2"/>
      <c r="AF23" s="2"/>
      <c r="AG23" s="2"/>
      <c r="AH23" s="2"/>
      <c r="AI23" s="2"/>
      <c r="AJ23" s="2"/>
      <c r="AK23" s="2"/>
      <c r="AL23" s="2"/>
      <c r="AM23" s="2"/>
      <c r="AN23" s="2"/>
      <c r="AO23" s="2"/>
      <c r="AP23" s="2"/>
      <c r="AQ23" s="2"/>
      <c r="AR23" s="261"/>
      <c r="AS23" s="261"/>
      <c r="AT23" s="261"/>
      <c r="AU23" s="2"/>
      <c r="AV23" s="2"/>
      <c r="AW23" s="2"/>
      <c r="AX23" s="2"/>
      <c r="AY23" s="2"/>
      <c r="AZ23" s="2"/>
      <c r="BA23" s="2"/>
      <c r="BB23" s="2"/>
      <c r="BC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row>
    <row r="24" spans="1:257" x14ac:dyDescent="0.3">
      <c r="A24" s="39" t="s">
        <v>101</v>
      </c>
      <c r="B24" s="145"/>
      <c r="C24" s="148"/>
      <c r="D24" s="148"/>
      <c r="E24" s="148"/>
      <c r="F24" s="148"/>
      <c r="G24" s="148"/>
      <c r="H24" s="148"/>
      <c r="I24" s="148"/>
      <c r="J24" s="148"/>
      <c r="K24" s="148"/>
      <c r="L24" s="176"/>
      <c r="M24" s="28" t="s">
        <v>96</v>
      </c>
      <c r="N24" s="30">
        <f>IF(L22=0,0,((L24/L22)*100))</f>
        <v>0</v>
      </c>
      <c r="O24" s="31" t="s">
        <v>22</v>
      </c>
      <c r="P24" s="32"/>
      <c r="Q24" s="33" t="e">
        <f>'Classement EA'!C19</f>
        <v>#N/A</v>
      </c>
      <c r="R24" s="34" t="s">
        <v>22</v>
      </c>
      <c r="T24" s="438">
        <v>12</v>
      </c>
      <c r="U24" s="172" t="s">
        <v>172</v>
      </c>
      <c r="V24" s="172" t="s">
        <v>369</v>
      </c>
      <c r="W24" s="172" t="s">
        <v>178</v>
      </c>
      <c r="X24" s="277" t="s">
        <v>180</v>
      </c>
      <c r="Y24" s="36"/>
      <c r="Z24" s="214"/>
      <c r="AA24" s="4" t="s">
        <v>306</v>
      </c>
      <c r="AB24" s="300"/>
      <c r="AC24" s="2"/>
      <c r="AD24" s="2"/>
      <c r="AE24" s="2"/>
      <c r="AF24" s="2"/>
      <c r="AG24" s="2"/>
      <c r="AH24" s="2"/>
      <c r="AI24" s="2"/>
      <c r="AJ24" s="2"/>
      <c r="AK24" s="2"/>
      <c r="AL24" s="2"/>
      <c r="AM24" s="2"/>
      <c r="AN24" s="2"/>
      <c r="AO24" s="2"/>
      <c r="AP24" s="2"/>
      <c r="AQ24" s="2"/>
      <c r="AR24" s="261"/>
      <c r="AS24" s="261"/>
      <c r="AT24" s="261"/>
      <c r="AU24" s="2"/>
      <c r="AV24" s="2"/>
      <c r="AW24" s="2"/>
      <c r="AX24" s="2"/>
      <c r="AY24" s="2"/>
      <c r="AZ24" s="2"/>
      <c r="BA24" s="2"/>
      <c r="BB24" s="2"/>
      <c r="BC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row>
    <row r="25" spans="1:257" x14ac:dyDescent="0.3">
      <c r="A25" s="39" t="s">
        <v>281</v>
      </c>
      <c r="B25" s="145"/>
      <c r="C25" s="148"/>
      <c r="D25" s="148"/>
      <c r="E25" s="148"/>
      <c r="F25" s="148"/>
      <c r="G25" s="148"/>
      <c r="H25" s="148"/>
      <c r="I25" s="148"/>
      <c r="J25" s="148"/>
      <c r="K25" s="148"/>
      <c r="L25" s="177"/>
      <c r="M25" s="28" t="s">
        <v>283</v>
      </c>
      <c r="N25" s="30">
        <f>IF(L22=0,0,(L25/L22))</f>
        <v>0</v>
      </c>
      <c r="O25" s="31" t="s">
        <v>282</v>
      </c>
      <c r="P25" s="32"/>
      <c r="Q25" s="33" t="e">
        <f>'Classement EA'!C20</f>
        <v>#N/A</v>
      </c>
      <c r="R25" s="34" t="s">
        <v>282</v>
      </c>
      <c r="T25" s="438">
        <v>17</v>
      </c>
      <c r="U25" s="172" t="s">
        <v>172</v>
      </c>
      <c r="V25" s="172" t="s">
        <v>370</v>
      </c>
      <c r="W25" s="172" t="s">
        <v>178</v>
      </c>
      <c r="X25" s="277" t="s">
        <v>180</v>
      </c>
      <c r="Y25" s="36"/>
      <c r="Z25" s="214"/>
      <c r="AA25" s="4" t="s">
        <v>402</v>
      </c>
      <c r="AB25" s="300"/>
      <c r="AC25" s="2"/>
      <c r="AD25" s="2"/>
      <c r="AE25" s="2"/>
      <c r="AF25" s="2"/>
      <c r="AG25" s="2"/>
      <c r="AH25" s="2"/>
      <c r="AI25" s="2"/>
      <c r="AJ25" s="2"/>
      <c r="AK25" s="2"/>
      <c r="AL25" s="2"/>
      <c r="AM25" s="2"/>
      <c r="AN25" s="2"/>
      <c r="AO25" s="2"/>
      <c r="AP25" s="2"/>
      <c r="AQ25" s="2"/>
      <c r="AR25" s="261"/>
      <c r="AS25" s="261"/>
      <c r="AT25" s="261"/>
      <c r="AU25" s="2"/>
      <c r="AV25" s="2"/>
      <c r="AW25" s="2"/>
      <c r="AX25" s="2"/>
      <c r="AY25" s="2"/>
      <c r="AZ25" s="2"/>
      <c r="BA25" s="2"/>
      <c r="BB25" s="2"/>
      <c r="BC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row>
    <row r="26" spans="1:257" x14ac:dyDescent="0.3">
      <c r="A26" s="39" t="s">
        <v>37</v>
      </c>
      <c r="B26" s="145"/>
      <c r="C26" s="148"/>
      <c r="D26" s="148"/>
      <c r="E26" s="148"/>
      <c r="F26" s="148"/>
      <c r="G26" s="148"/>
      <c r="H26" s="148"/>
      <c r="I26" s="148"/>
      <c r="J26" s="148"/>
      <c r="K26" s="148"/>
      <c r="L26" s="176"/>
      <c r="M26" s="28" t="s">
        <v>96</v>
      </c>
      <c r="N26" s="30" t="e">
        <f>(L26/L17)*100</f>
        <v>#DIV/0!</v>
      </c>
      <c r="O26" s="31" t="s">
        <v>22</v>
      </c>
      <c r="P26" s="32"/>
      <c r="Q26" s="33" t="e">
        <f>'Classement EA'!C21</f>
        <v>#N/A</v>
      </c>
      <c r="R26" s="34" t="s">
        <v>22</v>
      </c>
      <c r="T26" s="438">
        <v>13</v>
      </c>
      <c r="U26" s="172" t="s">
        <v>295</v>
      </c>
      <c r="V26" s="172" t="s">
        <v>369</v>
      </c>
      <c r="W26" s="172" t="s">
        <v>296</v>
      </c>
      <c r="X26" s="277" t="s">
        <v>298</v>
      </c>
      <c r="Y26" s="36"/>
      <c r="Z26" s="214"/>
      <c r="AA26" s="4" t="s">
        <v>403</v>
      </c>
      <c r="AB26" s="300"/>
      <c r="AC26" s="2"/>
      <c r="AD26" s="2"/>
      <c r="AE26" s="2"/>
      <c r="AF26" s="2"/>
      <c r="AG26" s="2"/>
      <c r="AH26" s="2"/>
      <c r="AI26" s="2"/>
      <c r="AJ26" s="2"/>
      <c r="AK26" s="2"/>
      <c r="AL26" s="2"/>
      <c r="AM26" s="2"/>
      <c r="AN26" s="2"/>
      <c r="AO26" s="2"/>
      <c r="AP26" s="2"/>
      <c r="AQ26" s="2"/>
      <c r="AR26" s="261"/>
      <c r="AS26" s="261"/>
      <c r="AT26" s="261"/>
      <c r="AU26" s="2"/>
      <c r="AV26" s="2"/>
      <c r="AW26" s="2"/>
      <c r="AX26" s="2"/>
      <c r="AY26" s="2"/>
      <c r="AZ26" s="2"/>
      <c r="BA26" s="2"/>
      <c r="BB26" s="2"/>
      <c r="BC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row>
    <row r="27" spans="1:257" x14ac:dyDescent="0.3">
      <c r="A27" s="26" t="s">
        <v>436</v>
      </c>
      <c r="B27" s="145"/>
      <c r="C27" s="150"/>
      <c r="D27" s="150"/>
      <c r="E27" s="150"/>
      <c r="F27" s="150"/>
      <c r="G27" s="150"/>
      <c r="H27" s="150"/>
      <c r="I27" s="150"/>
      <c r="J27" s="150"/>
      <c r="K27" s="150"/>
      <c r="L27" s="177"/>
      <c r="M27" s="42" t="s">
        <v>103</v>
      </c>
      <c r="N27" s="43" t="e">
        <f>L27/L17</f>
        <v>#DIV/0!</v>
      </c>
      <c r="O27" s="44" t="s">
        <v>40</v>
      </c>
      <c r="P27" s="45"/>
      <c r="Q27" s="33" t="e">
        <f>'Classement EA'!C22</f>
        <v>#N/A</v>
      </c>
      <c r="R27" s="34" t="s">
        <v>40</v>
      </c>
      <c r="S27" s="156"/>
      <c r="T27" s="572">
        <v>14</v>
      </c>
      <c r="U27" s="37" t="s">
        <v>295</v>
      </c>
      <c r="V27" s="37" t="s">
        <v>369</v>
      </c>
      <c r="W27" s="37" t="s">
        <v>297</v>
      </c>
      <c r="X27" s="38" t="s">
        <v>298</v>
      </c>
      <c r="Y27" s="658"/>
      <c r="Z27" s="659"/>
      <c r="AA27" s="4" t="s">
        <v>403</v>
      </c>
      <c r="AB27" s="300"/>
      <c r="AC27" s="2"/>
      <c r="AD27" s="2"/>
      <c r="AE27" s="2"/>
      <c r="AF27" s="2"/>
      <c r="AG27" s="2"/>
      <c r="AH27" s="2"/>
      <c r="AI27" s="2"/>
      <c r="AJ27" s="2"/>
      <c r="AK27" s="2"/>
      <c r="AL27" s="2"/>
      <c r="AM27" s="2"/>
      <c r="AN27" s="2"/>
      <c r="AO27" s="2"/>
      <c r="AP27" s="2"/>
      <c r="AQ27" s="2"/>
      <c r="AR27" s="261"/>
      <c r="AS27" s="261"/>
      <c r="AT27" s="261"/>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row>
    <row r="28" spans="1:257" x14ac:dyDescent="0.3">
      <c r="A28" s="26" t="s">
        <v>104</v>
      </c>
      <c r="B28" s="145"/>
      <c r="C28" s="148"/>
      <c r="D28" s="148"/>
      <c r="E28" s="148"/>
      <c r="F28" s="148"/>
      <c r="G28" s="148"/>
      <c r="H28" s="148"/>
      <c r="I28" s="148"/>
      <c r="J28" s="148"/>
      <c r="K28" s="148"/>
      <c r="L28" s="178"/>
      <c r="M28" s="28" t="s">
        <v>105</v>
      </c>
      <c r="N28" s="30" t="e">
        <f>L17/L28</f>
        <v>#DIV/0!</v>
      </c>
      <c r="O28" s="46" t="s">
        <v>43</v>
      </c>
      <c r="P28" s="47"/>
      <c r="Q28" s="33" t="e">
        <f>'Classement EA'!C23</f>
        <v>#N/A</v>
      </c>
      <c r="R28" s="34" t="s">
        <v>43</v>
      </c>
      <c r="S28" s="167"/>
      <c r="T28" s="167"/>
      <c r="U28" s="167"/>
      <c r="V28" s="167"/>
      <c r="W28" s="167"/>
      <c r="X28" s="166"/>
      <c r="Y28" s="166"/>
      <c r="Z28" s="166"/>
      <c r="AA28" s="166"/>
      <c r="AB28" s="166"/>
      <c r="AC28" s="167"/>
      <c r="AD28" s="167"/>
      <c r="AE28" s="167"/>
      <c r="AF28" s="167"/>
      <c r="AG28" s="167"/>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167"/>
      <c r="BG28" s="167"/>
      <c r="BH28" s="167"/>
      <c r="BI28" s="167"/>
      <c r="BJ28" s="167"/>
      <c r="BK28" s="167"/>
      <c r="BL28" s="167"/>
      <c r="BM28" s="167"/>
      <c r="BN28" s="167"/>
      <c r="BO28" s="167"/>
      <c r="BP28" s="167"/>
      <c r="BQ28" s="167"/>
      <c r="BR28" s="167"/>
      <c r="BS28" s="167"/>
      <c r="BT28" s="167"/>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row>
    <row r="29" spans="1:257" ht="8.1" customHeight="1" x14ac:dyDescent="0.3">
      <c r="A29" s="48"/>
      <c r="B29" s="151"/>
      <c r="C29" s="152"/>
      <c r="D29" s="152"/>
      <c r="E29" s="152"/>
      <c r="F29" s="152"/>
      <c r="G29" s="152"/>
      <c r="H29" s="152"/>
      <c r="I29" s="152"/>
      <c r="J29" s="152"/>
      <c r="K29" s="152"/>
      <c r="L29" s="37"/>
      <c r="M29" s="37"/>
      <c r="N29" s="49"/>
      <c r="O29" s="50"/>
      <c r="P29" s="48"/>
      <c r="Q29" s="37"/>
      <c r="R29" s="38"/>
      <c r="S29" s="167"/>
      <c r="T29" s="167"/>
      <c r="U29" s="167"/>
      <c r="V29" s="167"/>
      <c r="W29" s="167"/>
      <c r="X29" s="166"/>
      <c r="Y29" s="166"/>
      <c r="Z29" s="166"/>
      <c r="AA29" s="166"/>
      <c r="AB29" s="166"/>
      <c r="AC29" s="167"/>
      <c r="AD29" s="167"/>
      <c r="AE29" s="167"/>
      <c r="AF29" s="167"/>
      <c r="AG29" s="167"/>
      <c r="AH29" s="167"/>
      <c r="AI29" s="167"/>
      <c r="AJ29" s="167"/>
      <c r="AK29" s="167"/>
      <c r="AL29" s="167"/>
      <c r="AM29" s="167"/>
      <c r="AN29" s="167"/>
      <c r="AO29" s="167"/>
      <c r="AP29" s="167"/>
      <c r="AQ29" s="167"/>
      <c r="AR29" s="167"/>
      <c r="AS29" s="167"/>
      <c r="AT29" s="167"/>
      <c r="AU29" s="167"/>
      <c r="AV29" s="167"/>
      <c r="AW29" s="167"/>
      <c r="AX29" s="167"/>
      <c r="AY29" s="167"/>
      <c r="AZ29" s="167"/>
      <c r="BA29" s="167"/>
      <c r="BB29" s="167"/>
      <c r="BC29" s="167"/>
      <c r="BD29" s="167"/>
      <c r="BE29" s="167"/>
      <c r="BF29" s="167"/>
      <c r="BG29" s="167"/>
      <c r="BH29" s="167"/>
      <c r="BI29" s="167"/>
      <c r="BJ29" s="167"/>
      <c r="BK29" s="167"/>
      <c r="BL29" s="167"/>
      <c r="BM29" s="167"/>
      <c r="BN29" s="167"/>
      <c r="BO29" s="167"/>
      <c r="BP29" s="167"/>
      <c r="BQ29" s="167"/>
      <c r="BR29" s="167"/>
      <c r="BS29" s="167"/>
      <c r="BT29" s="167"/>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row>
    <row r="30" spans="1:257" ht="8.1" customHeight="1" x14ac:dyDescent="0.3">
      <c r="A30" s="12"/>
      <c r="B30" s="153"/>
      <c r="C30" s="154"/>
      <c r="D30" s="154"/>
      <c r="E30" s="154"/>
      <c r="F30" s="154"/>
      <c r="G30" s="154"/>
      <c r="H30" s="154"/>
      <c r="I30" s="154"/>
      <c r="J30" s="154"/>
      <c r="K30" s="154"/>
      <c r="L30" s="154"/>
      <c r="M30" s="16"/>
      <c r="N30" s="51"/>
      <c r="O30" s="52"/>
      <c r="P30" s="53"/>
      <c r="Q30" s="16"/>
      <c r="R30" s="17"/>
      <c r="S30" s="167"/>
      <c r="T30" s="167"/>
      <c r="U30" s="167"/>
      <c r="V30" s="167"/>
      <c r="W30" s="167"/>
      <c r="X30" s="166"/>
      <c r="Y30" s="166"/>
      <c r="Z30" s="166"/>
      <c r="AA30" s="166"/>
      <c r="AB30" s="166"/>
      <c r="AC30" s="167"/>
      <c r="AD30" s="167"/>
      <c r="AE30" s="167"/>
      <c r="AF30" s="167"/>
      <c r="AG30" s="167"/>
      <c r="AH30" s="167"/>
      <c r="AI30" s="167"/>
      <c r="AJ30" s="167"/>
      <c r="AK30" s="167"/>
      <c r="AL30" s="167"/>
      <c r="AM30" s="167"/>
      <c r="AN30" s="167"/>
      <c r="AO30" s="167"/>
      <c r="AP30" s="167"/>
      <c r="AQ30" s="167"/>
      <c r="AR30" s="167"/>
      <c r="AS30" s="167"/>
      <c r="AT30" s="167"/>
      <c r="AU30" s="167"/>
      <c r="AV30" s="167"/>
      <c r="AW30" s="167"/>
      <c r="AX30" s="167"/>
      <c r="AY30" s="167"/>
      <c r="AZ30" s="167"/>
      <c r="BA30" s="167"/>
      <c r="BB30" s="167"/>
      <c r="BC30" s="167"/>
      <c r="BD30" s="167"/>
      <c r="BE30" s="167"/>
      <c r="BF30" s="167"/>
      <c r="BG30" s="167"/>
      <c r="BH30" s="167"/>
      <c r="BI30" s="167"/>
      <c r="BJ30" s="167"/>
      <c r="BK30" s="167"/>
      <c r="BL30" s="167"/>
      <c r="BM30" s="167"/>
      <c r="BN30" s="167"/>
      <c r="BO30" s="167"/>
      <c r="BP30" s="167"/>
      <c r="BQ30" s="167"/>
      <c r="BR30" s="167"/>
      <c r="BS30" s="167"/>
      <c r="BT30" s="167"/>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spans="1:257" ht="15.6" x14ac:dyDescent="0.3">
      <c r="A31" s="18" t="s">
        <v>45</v>
      </c>
      <c r="B31" s="143"/>
      <c r="C31" s="144"/>
      <c r="D31" s="144"/>
      <c r="E31" s="144"/>
      <c r="F31" s="144"/>
      <c r="G31" s="144"/>
      <c r="H31" s="144"/>
      <c r="I31" s="144"/>
      <c r="J31" s="144"/>
      <c r="K31" s="144"/>
      <c r="L31" s="144"/>
      <c r="M31" s="54"/>
      <c r="N31" s="55"/>
      <c r="O31" s="56"/>
      <c r="P31" s="57"/>
      <c r="R31" s="22"/>
      <c r="S31" s="167"/>
      <c r="T31" s="167"/>
      <c r="U31" s="167"/>
      <c r="V31" s="167"/>
      <c r="W31" s="167"/>
      <c r="X31" s="166"/>
      <c r="Y31" s="166"/>
      <c r="Z31" s="166"/>
      <c r="AA31" s="166"/>
      <c r="AB31" s="166"/>
      <c r="AC31" s="167"/>
      <c r="AD31" s="167"/>
      <c r="AE31" s="167"/>
      <c r="AF31" s="167"/>
      <c r="AG31" s="167"/>
      <c r="AH31" s="167"/>
      <c r="AI31" s="167"/>
      <c r="AJ31" s="167"/>
      <c r="AK31" s="167"/>
      <c r="AL31" s="167"/>
      <c r="AM31" s="167"/>
      <c r="AN31" s="167"/>
      <c r="AO31" s="167"/>
      <c r="AP31" s="167"/>
      <c r="AQ31" s="167"/>
      <c r="AR31" s="167"/>
      <c r="AS31" s="167"/>
      <c r="AT31" s="167"/>
      <c r="AU31" s="167"/>
      <c r="AV31" s="167"/>
      <c r="AW31" s="167"/>
      <c r="AX31" s="167"/>
      <c r="AY31" s="167"/>
      <c r="AZ31" s="167"/>
      <c r="BA31" s="167"/>
      <c r="BB31" s="167"/>
      <c r="BC31" s="167"/>
      <c r="BD31" s="167"/>
      <c r="BE31" s="167"/>
      <c r="BF31" s="167"/>
      <c r="BG31" s="167"/>
      <c r="BH31" s="167"/>
      <c r="BI31" s="167"/>
      <c r="BJ31" s="167"/>
      <c r="BK31" s="167"/>
      <c r="BL31" s="167"/>
      <c r="BM31" s="167"/>
      <c r="BN31" s="167"/>
      <c r="BO31" s="167"/>
      <c r="BP31" s="167"/>
      <c r="BQ31" s="167"/>
      <c r="BR31" s="167"/>
      <c r="BS31" s="167"/>
      <c r="BT31" s="167"/>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pans="1:257" ht="8.1" customHeight="1" x14ac:dyDescent="0.3">
      <c r="A32" s="26"/>
      <c r="B32" s="145"/>
      <c r="C32" s="146"/>
      <c r="D32" s="146"/>
      <c r="E32" s="146"/>
      <c r="F32" s="146"/>
      <c r="G32" s="146"/>
      <c r="H32" s="146"/>
      <c r="I32" s="146"/>
      <c r="J32" s="146"/>
      <c r="K32" s="146"/>
      <c r="L32" s="146"/>
      <c r="M32" s="3"/>
      <c r="N32" s="58"/>
      <c r="O32" s="59"/>
      <c r="P32" s="57"/>
      <c r="R32" s="22"/>
      <c r="S32" s="167"/>
      <c r="T32" s="167"/>
      <c r="U32" s="167"/>
      <c r="V32" s="167"/>
      <c r="W32" s="167"/>
      <c r="X32" s="166"/>
      <c r="Y32" s="166"/>
      <c r="Z32" s="166"/>
      <c r="AA32" s="166"/>
      <c r="AB32" s="166"/>
      <c r="AC32" s="167"/>
      <c r="AD32" s="167"/>
      <c r="AE32" s="167"/>
      <c r="AF32" s="167"/>
      <c r="AG32" s="167"/>
      <c r="AH32" s="167"/>
      <c r="AI32" s="167"/>
      <c r="AJ32" s="167"/>
      <c r="AK32" s="167"/>
      <c r="AL32" s="167"/>
      <c r="AM32" s="167"/>
      <c r="AN32" s="167"/>
      <c r="AO32" s="167"/>
      <c r="AP32" s="167"/>
      <c r="AQ32" s="167"/>
      <c r="AR32" s="167"/>
      <c r="AS32" s="167"/>
      <c r="AT32" s="167"/>
      <c r="AU32" s="167"/>
      <c r="AV32" s="167"/>
      <c r="AW32" s="167"/>
      <c r="AX32" s="167"/>
      <c r="AY32" s="167"/>
      <c r="AZ32" s="167"/>
      <c r="BA32" s="167"/>
      <c r="BB32" s="167"/>
      <c r="BC32" s="167"/>
      <c r="BD32" s="167"/>
      <c r="BE32" s="167"/>
      <c r="BF32" s="167"/>
      <c r="BG32" s="167"/>
      <c r="BH32" s="167"/>
      <c r="BI32" s="167"/>
      <c r="BJ32" s="167"/>
      <c r="BK32" s="167"/>
      <c r="BL32" s="167"/>
      <c r="BM32" s="167"/>
      <c r="BN32" s="167"/>
      <c r="BO32" s="167"/>
      <c r="BP32" s="167"/>
      <c r="BQ32" s="167"/>
      <c r="BR32" s="167"/>
      <c r="BS32" s="167"/>
      <c r="BT32" s="167"/>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row r="33" spans="1:257" x14ac:dyDescent="0.3">
      <c r="A33" s="26" t="s">
        <v>106</v>
      </c>
      <c r="B33" s="794" t="s">
        <v>107</v>
      </c>
      <c r="C33" s="795"/>
      <c r="D33" s="795"/>
      <c r="E33" s="795"/>
      <c r="F33" s="795"/>
      <c r="G33" s="795"/>
      <c r="H33" s="795"/>
      <c r="I33" s="796"/>
      <c r="J33" s="797" t="s">
        <v>108</v>
      </c>
      <c r="K33" s="796"/>
      <c r="L33" s="60"/>
      <c r="M33" s="28"/>
      <c r="N33" s="61"/>
      <c r="O33" s="62"/>
      <c r="P33" s="57"/>
      <c r="R33" s="22"/>
      <c r="S33" s="167"/>
      <c r="T33" s="167"/>
      <c r="U33" s="167"/>
      <c r="V33" s="167"/>
      <c r="W33" s="167"/>
      <c r="X33" s="166"/>
      <c r="Y33" s="166"/>
      <c r="Z33" s="166"/>
      <c r="AA33" s="166"/>
      <c r="AB33" s="166"/>
      <c r="AC33" s="167"/>
      <c r="AD33" s="167"/>
      <c r="AE33" s="167"/>
      <c r="AF33" s="167"/>
      <c r="AG33" s="167"/>
      <c r="AH33" s="167"/>
      <c r="AI33" s="167"/>
      <c r="AJ33" s="167"/>
      <c r="AK33" s="167"/>
      <c r="AL33" s="167"/>
      <c r="AM33" s="167"/>
      <c r="AN33" s="167"/>
      <c r="AO33" s="167"/>
      <c r="AP33" s="167"/>
      <c r="AQ33" s="167"/>
      <c r="AR33" s="167"/>
      <c r="AS33" s="167"/>
      <c r="AT33" s="167"/>
      <c r="AU33" s="167"/>
      <c r="AV33" s="167"/>
      <c r="AW33" s="167"/>
      <c r="AX33" s="167"/>
      <c r="AY33" s="167"/>
      <c r="AZ33" s="167"/>
      <c r="BA33" s="167"/>
      <c r="BB33" s="167"/>
      <c r="BC33" s="167"/>
      <c r="BD33" s="167"/>
      <c r="BE33" s="167"/>
      <c r="BF33" s="167"/>
      <c r="BG33" s="167"/>
      <c r="BH33" s="167"/>
      <c r="BI33" s="167"/>
      <c r="BJ33" s="167"/>
      <c r="BK33" s="167"/>
      <c r="BL33" s="167"/>
      <c r="BM33" s="167"/>
      <c r="BN33" s="167"/>
      <c r="BO33" s="167"/>
      <c r="BP33" s="167"/>
      <c r="BQ33" s="167"/>
      <c r="BR33" s="167"/>
      <c r="BS33" s="167"/>
      <c r="BT33" s="167"/>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row>
    <row r="34" spans="1:257" x14ac:dyDescent="0.3">
      <c r="A34" s="26" t="s">
        <v>109</v>
      </c>
      <c r="B34" s="190"/>
      <c r="C34" s="185"/>
      <c r="D34" s="185"/>
      <c r="E34" s="185"/>
      <c r="F34" s="185"/>
      <c r="G34" s="185"/>
      <c r="H34" s="185"/>
      <c r="I34" s="185"/>
      <c r="J34" s="184"/>
      <c r="K34" s="179"/>
      <c r="L34" s="63"/>
      <c r="M34" s="28" t="s">
        <v>110</v>
      </c>
      <c r="N34" s="61"/>
      <c r="O34" s="62"/>
      <c r="P34" s="57"/>
      <c r="R34" s="22"/>
      <c r="S34" s="167"/>
      <c r="T34" s="167"/>
      <c r="U34" s="167"/>
      <c r="V34" s="167"/>
      <c r="W34" s="167"/>
      <c r="X34" s="166"/>
      <c r="Y34" s="166"/>
      <c r="Z34" s="166"/>
      <c r="AA34" s="166"/>
      <c r="AB34" s="166"/>
      <c r="AC34" s="166"/>
      <c r="AD34" s="166"/>
      <c r="AE34" s="166"/>
      <c r="AF34" s="167"/>
      <c r="AG34" s="167"/>
      <c r="AH34" s="167"/>
      <c r="AI34" s="167"/>
      <c r="AJ34" s="167"/>
      <c r="AK34" s="167"/>
      <c r="AL34" s="167"/>
      <c r="AM34" s="167"/>
      <c r="AN34" s="167"/>
      <c r="AO34" s="167"/>
      <c r="AP34" s="167"/>
      <c r="AQ34" s="167"/>
      <c r="AR34" s="167"/>
      <c r="AS34" s="167"/>
      <c r="AT34" s="167"/>
      <c r="AU34" s="167"/>
      <c r="AV34" s="167"/>
      <c r="AW34" s="167"/>
      <c r="AX34" s="167" t="s">
        <v>346</v>
      </c>
      <c r="AY34" s="167" t="s">
        <v>347</v>
      </c>
      <c r="AZ34" s="167"/>
      <c r="BA34" s="167" t="s">
        <v>346</v>
      </c>
      <c r="BB34" s="167" t="s">
        <v>347</v>
      </c>
      <c r="BC34" s="167"/>
      <c r="BD34" s="167"/>
      <c r="BE34" s="167"/>
      <c r="BF34" s="167"/>
      <c r="BG34" s="167"/>
      <c r="BH34" s="167"/>
      <c r="BI34" s="167"/>
      <c r="BJ34" s="167"/>
      <c r="BK34" s="167"/>
      <c r="BL34" s="167"/>
      <c r="BM34" s="167"/>
      <c r="BN34" s="167"/>
      <c r="BO34" s="167"/>
      <c r="BP34" s="167"/>
      <c r="BQ34" s="167"/>
      <c r="BR34" s="167"/>
      <c r="BS34" s="167"/>
      <c r="BT34" s="167"/>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row>
    <row r="35" spans="1:257" x14ac:dyDescent="0.3">
      <c r="A35" s="26" t="s">
        <v>111</v>
      </c>
      <c r="B35" s="189"/>
      <c r="C35" s="186"/>
      <c r="D35" s="186"/>
      <c r="E35" s="186"/>
      <c r="F35" s="186"/>
      <c r="G35" s="186"/>
      <c r="H35" s="186"/>
      <c r="I35" s="186"/>
      <c r="J35" s="183"/>
      <c r="K35" s="180"/>
      <c r="L35" s="63"/>
      <c r="M35" s="28" t="s">
        <v>22</v>
      </c>
      <c r="N35" s="61"/>
      <c r="O35" s="62"/>
      <c r="P35" s="57"/>
      <c r="R35" s="22"/>
      <c r="S35" s="167"/>
      <c r="T35" s="167"/>
      <c r="U35" s="167"/>
      <c r="V35" s="167"/>
      <c r="W35" s="167"/>
      <c r="X35" s="166"/>
      <c r="Y35" s="166"/>
      <c r="Z35" s="166"/>
      <c r="AA35" s="166"/>
      <c r="AB35" s="166"/>
      <c r="AC35" s="166"/>
      <c r="AD35" s="166"/>
      <c r="AE35" s="166"/>
      <c r="AF35" s="167"/>
      <c r="AG35" s="167"/>
      <c r="AH35" s="167"/>
      <c r="AI35" s="167"/>
      <c r="AJ35" s="167"/>
      <c r="AK35" s="671">
        <v>0.5</v>
      </c>
      <c r="AL35" s="671">
        <v>0.25</v>
      </c>
      <c r="AM35" s="671">
        <v>0.25</v>
      </c>
      <c r="AN35" s="167"/>
      <c r="AO35" s="671">
        <v>0.5</v>
      </c>
      <c r="AP35" s="671">
        <v>0.25</v>
      </c>
      <c r="AQ35" s="671">
        <v>0.25</v>
      </c>
      <c r="AR35" s="671"/>
      <c r="AS35" s="671"/>
      <c r="AT35" s="671"/>
      <c r="AU35" s="167"/>
      <c r="AV35" s="167"/>
      <c r="AW35" s="167"/>
      <c r="AX35" s="167"/>
      <c r="AY35" s="167"/>
      <c r="AZ35" s="167"/>
      <c r="BA35" s="167"/>
      <c r="BB35" s="167"/>
      <c r="BC35" s="167"/>
      <c r="BD35" s="167"/>
      <c r="BE35" s="167"/>
      <c r="BF35" s="167"/>
      <c r="BG35" s="167"/>
      <c r="BH35" s="167"/>
      <c r="BI35" s="167"/>
      <c r="BJ35" s="167"/>
      <c r="BK35" s="167"/>
      <c r="BL35" s="167"/>
      <c r="BM35" s="167"/>
      <c r="BN35" s="167"/>
      <c r="BO35" s="167"/>
      <c r="BP35" s="167"/>
      <c r="BQ35" s="167"/>
      <c r="BR35" s="167"/>
      <c r="BS35" s="167"/>
      <c r="BT35" s="167"/>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row>
    <row r="36" spans="1:257" x14ac:dyDescent="0.3">
      <c r="A36" s="26" t="s">
        <v>112</v>
      </c>
      <c r="B36" s="188"/>
      <c r="C36" s="187"/>
      <c r="D36" s="187"/>
      <c r="E36" s="187"/>
      <c r="F36" s="187"/>
      <c r="G36" s="187"/>
      <c r="H36" s="187"/>
      <c r="I36" s="187"/>
      <c r="J36" s="182"/>
      <c r="K36" s="181"/>
      <c r="L36" s="63"/>
      <c r="M36" s="28" t="s">
        <v>113</v>
      </c>
      <c r="N36" s="61"/>
      <c r="P36" s="57"/>
      <c r="R36" s="22"/>
      <c r="S36" s="167"/>
      <c r="T36" s="167"/>
      <c r="U36" s="167"/>
      <c r="V36" s="167"/>
      <c r="W36" s="167"/>
      <c r="X36" s="166"/>
      <c r="Y36" s="166"/>
      <c r="Z36" s="166"/>
      <c r="AA36" s="166"/>
      <c r="AB36" s="166"/>
      <c r="AC36" s="166"/>
      <c r="AD36" s="166"/>
      <c r="AE36" s="166"/>
      <c r="AF36" s="167"/>
      <c r="AG36" s="167"/>
      <c r="AH36" s="167"/>
      <c r="AI36" s="167"/>
      <c r="AJ36" s="167"/>
      <c r="AK36" s="166"/>
      <c r="AL36" s="166"/>
      <c r="AM36" s="166"/>
      <c r="AN36" s="167"/>
      <c r="AO36" s="167"/>
      <c r="AP36" s="167"/>
      <c r="AQ36" s="167"/>
      <c r="AR36" s="167">
        <f>SUM(AQ36:AQ45)</f>
        <v>15</v>
      </c>
      <c r="AS36" s="671">
        <f>AR36/AR$139</f>
        <v>0.3125</v>
      </c>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BP36" s="167"/>
      <c r="BQ36" s="167"/>
      <c r="BR36" s="167"/>
      <c r="BS36" s="167"/>
      <c r="BT36" s="167"/>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row>
    <row r="37" spans="1:257" ht="15.6" x14ac:dyDescent="0.3">
      <c r="A37" s="64" t="s">
        <v>114</v>
      </c>
      <c r="B37" s="159">
        <f t="shared" ref="B37:H37" si="0">(IF(B34&lt;10001,B36*0.75,1)*IF(B34&lt;6001,0,1))+IF(B34&lt;6001,B36,0)+IF(B34&gt;10000,B36*0.5,0)</f>
        <v>0</v>
      </c>
      <c r="C37" s="160">
        <f t="shared" si="0"/>
        <v>0</v>
      </c>
      <c r="D37" s="160">
        <f t="shared" si="0"/>
        <v>0</v>
      </c>
      <c r="E37" s="160">
        <f t="shared" si="0"/>
        <v>0</v>
      </c>
      <c r="F37" s="160">
        <f>(IF(F34&lt;10001,F36*0.75,1)*IF(F34&lt;6001,0,1))+IF(F34&lt;6001,F36,0)+IF(F34&gt;10000,F36*0.5,0)</f>
        <v>0</v>
      </c>
      <c r="G37" s="160">
        <f t="shared" si="0"/>
        <v>0</v>
      </c>
      <c r="H37" s="160">
        <f t="shared" si="0"/>
        <v>0</v>
      </c>
      <c r="I37" s="160">
        <f>(IF(I34&lt;10001,I36*0.75,1)*IF(I34&lt;6001,0,1))+IF(I34&lt;6001,I36,0)+IF(I34&gt;10000,I36*0.5,0)</f>
        <v>0</v>
      </c>
      <c r="J37" s="147"/>
      <c r="K37" s="147"/>
      <c r="L37" s="147"/>
      <c r="M37" s="65"/>
      <c r="N37" s="554" t="e">
        <f>(((B35*B37/100)+(C35*C37/100)+(D35*D37/100)+(E35*E37/100)+(F35*F37/100)+(G35*G37/100)+(H35*H37/100)+(I35*I37/100))+(((J35*J36/100)+(K35*K36/100))/2))/L17</f>
        <v>#DIV/0!</v>
      </c>
      <c r="O37" s="67" t="s">
        <v>64</v>
      </c>
      <c r="P37" s="68" t="str">
        <f>'Classement EA'!B32</f>
        <v>&lt;</v>
      </c>
      <c r="Q37" s="95" t="e">
        <f>'Classement EA'!C32</f>
        <v>#N/A</v>
      </c>
      <c r="R37" s="70" t="s">
        <v>115</v>
      </c>
      <c r="S37" s="167"/>
      <c r="T37" s="674" t="e">
        <f>'Classement EA'!D32</f>
        <v>#N/A</v>
      </c>
      <c r="U37" s="167"/>
      <c r="V37" s="167"/>
      <c r="W37" s="167"/>
      <c r="X37" s="166"/>
      <c r="Y37" s="166"/>
      <c r="Z37" s="166"/>
      <c r="AA37" s="166"/>
      <c r="AB37" s="166"/>
      <c r="AC37" s="166"/>
      <c r="AD37" s="166" t="e">
        <f>IF(N37&lt;=Q37,0,1)+IF(N37&lt;=T37,0,1)</f>
        <v>#DIV/0!</v>
      </c>
      <c r="AE37" s="675" t="e">
        <f>IF(AD37=1,AD37+2,0)+IF(AD37=2,AD37+6,0)</f>
        <v>#DIV/0!</v>
      </c>
      <c r="AF37" s="167"/>
      <c r="AG37" s="676" t="str">
        <f>A37</f>
        <v>Puissance de traction (en ch /ha de SAU)</v>
      </c>
      <c r="AH37" s="167"/>
      <c r="AI37" s="167"/>
      <c r="AJ37" s="167"/>
      <c r="AK37" s="167">
        <v>0</v>
      </c>
      <c r="AL37" s="167">
        <v>1</v>
      </c>
      <c r="AM37" s="167">
        <v>2</v>
      </c>
      <c r="AN37" s="167"/>
      <c r="AO37" s="672">
        <v>0</v>
      </c>
      <c r="AP37" s="672">
        <v>2</v>
      </c>
      <c r="AQ37" s="672">
        <v>8</v>
      </c>
      <c r="AR37" s="167"/>
      <c r="AS37" s="167"/>
      <c r="AT37" s="167"/>
      <c r="AU37" s="167">
        <v>6</v>
      </c>
      <c r="AV37" s="167">
        <v>2</v>
      </c>
      <c r="AW37" s="167"/>
      <c r="AX37" s="676">
        <v>6</v>
      </c>
      <c r="AY37" s="167">
        <v>3</v>
      </c>
      <c r="AZ37" s="167"/>
      <c r="BA37" s="167">
        <v>2</v>
      </c>
      <c r="BB37" s="167">
        <v>1</v>
      </c>
      <c r="BC37" s="167"/>
      <c r="BD37" s="167"/>
      <c r="BE37" s="167"/>
      <c r="BF37" s="167"/>
      <c r="BG37" s="167"/>
      <c r="BH37" s="167"/>
      <c r="BI37" s="167"/>
      <c r="BJ37" s="167"/>
      <c r="BK37" s="167"/>
      <c r="BL37" s="167"/>
      <c r="BM37" s="167"/>
      <c r="BN37" s="167"/>
      <c r="BO37" s="167"/>
      <c r="BP37" s="167"/>
      <c r="BQ37" s="167"/>
      <c r="BR37" s="167"/>
      <c r="BS37" s="167"/>
      <c r="BT37" s="167"/>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row>
    <row r="38" spans="1:257" ht="8.1" customHeight="1" x14ac:dyDescent="0.3">
      <c r="A38" s="23"/>
      <c r="B38" s="23"/>
      <c r="C38" s="24"/>
      <c r="D38" s="24"/>
      <c r="E38" s="24"/>
      <c r="F38" s="24"/>
      <c r="G38" s="24"/>
      <c r="H38" s="24"/>
      <c r="I38" s="24"/>
      <c r="J38" s="24"/>
      <c r="K38" s="24"/>
      <c r="L38" s="71"/>
      <c r="M38" s="72"/>
      <c r="N38" s="73"/>
      <c r="O38" s="74"/>
      <c r="P38" s="75"/>
      <c r="Q38" s="24"/>
      <c r="R38" s="25"/>
      <c r="S38" s="167"/>
      <c r="T38" s="167"/>
      <c r="U38" s="167"/>
      <c r="V38" s="167"/>
      <c r="W38" s="167"/>
      <c r="X38" s="166"/>
      <c r="Y38" s="166"/>
      <c r="Z38" s="166"/>
      <c r="AA38" s="166"/>
      <c r="AB38" s="166"/>
      <c r="AC38" s="166"/>
      <c r="AD38" s="166"/>
      <c r="AE38" s="166"/>
      <c r="AF38" s="167"/>
      <c r="AG38" s="167"/>
      <c r="AH38" s="167"/>
      <c r="AI38" s="167"/>
      <c r="AJ38" s="167"/>
      <c r="AK38" s="167"/>
      <c r="AL38" s="167"/>
      <c r="AM38" s="167"/>
      <c r="AN38" s="167"/>
      <c r="AO38" s="167"/>
      <c r="AP38" s="167"/>
      <c r="AQ38" s="167"/>
      <c r="AR38" s="167"/>
      <c r="AS38" s="167"/>
      <c r="AT38" s="167"/>
      <c r="AU38" s="167"/>
      <c r="AV38" s="167"/>
      <c r="AW38" s="167"/>
      <c r="AX38" s="167"/>
      <c r="AY38" s="167"/>
      <c r="AZ38" s="167"/>
      <c r="BA38" s="167"/>
      <c r="BB38" s="167"/>
      <c r="BC38" s="167"/>
      <c r="BD38" s="167"/>
      <c r="BE38" s="167"/>
      <c r="BF38" s="167"/>
      <c r="BG38" s="167"/>
      <c r="BH38" s="167"/>
      <c r="BI38" s="167"/>
      <c r="BJ38" s="167"/>
      <c r="BK38" s="167"/>
      <c r="BL38" s="167"/>
      <c r="BM38" s="167"/>
      <c r="BN38" s="167"/>
      <c r="BO38" s="167"/>
      <c r="BP38" s="167"/>
      <c r="BQ38" s="167"/>
      <c r="BR38" s="167"/>
      <c r="BS38" s="167"/>
      <c r="BT38" s="167"/>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row>
    <row r="39" spans="1:257" x14ac:dyDescent="0.3">
      <c r="A39" s="26" t="s">
        <v>53</v>
      </c>
      <c r="B39" s="76">
        <f>IF(B35&gt;49,1,0)+IF(C35&gt;49,1,0)+IF(D35&gt;49,1,0)+IF(E35&gt;49,1,0)+IF(F35&gt;49,1,0)+IF(G35&gt;49,1,0)+IF(H35&gt;49,1,0)+IF(I35&gt;49,1,0)</f>
        <v>0</v>
      </c>
      <c r="C39" s="36" t="s">
        <v>107</v>
      </c>
      <c r="D39" s="3"/>
      <c r="E39" s="3"/>
      <c r="F39" s="3"/>
      <c r="G39" s="3"/>
      <c r="H39" s="3"/>
      <c r="I39" s="3"/>
      <c r="J39" s="77">
        <f>IF(J35&lt;&gt;0,1,0)+IF(K35&lt;&gt;0,1,0)</f>
        <v>0</v>
      </c>
      <c r="K39" s="78" t="s">
        <v>108</v>
      </c>
      <c r="L39" s="63"/>
      <c r="M39" s="28"/>
      <c r="N39" s="58"/>
      <c r="O39" s="62"/>
      <c r="P39" s="57"/>
      <c r="R39" s="22"/>
      <c r="S39" s="167"/>
      <c r="T39" s="167"/>
      <c r="U39" s="167"/>
      <c r="V39" s="167"/>
      <c r="W39" s="167"/>
      <c r="X39" s="166"/>
      <c r="Y39" s="166"/>
      <c r="Z39" s="166"/>
      <c r="AA39" s="166"/>
      <c r="AB39" s="166"/>
      <c r="AC39" s="166"/>
      <c r="AD39" s="166"/>
      <c r="AE39" s="166"/>
      <c r="AF39" s="167"/>
      <c r="AG39" s="167"/>
      <c r="AH39" s="167"/>
      <c r="AI39" s="167"/>
      <c r="AJ39" s="167"/>
      <c r="AK39" s="167"/>
      <c r="AL39" s="167"/>
      <c r="AM39" s="167"/>
      <c r="AN39" s="167"/>
      <c r="AO39" s="167"/>
      <c r="AP39" s="167"/>
      <c r="AQ39" s="167"/>
      <c r="AR39" s="167"/>
      <c r="AS39" s="167"/>
      <c r="AT39" s="167"/>
      <c r="AU39" s="167"/>
      <c r="AV39" s="167"/>
      <c r="AW39" s="167"/>
      <c r="AX39" s="167"/>
      <c r="AY39" s="167"/>
      <c r="AZ39" s="167"/>
      <c r="BA39" s="167"/>
      <c r="BB39" s="167"/>
      <c r="BC39" s="167"/>
      <c r="BD39" s="167"/>
      <c r="BE39" s="167"/>
      <c r="BF39" s="167"/>
      <c r="BG39" s="167"/>
      <c r="BH39" s="167"/>
      <c r="BI39" s="167"/>
      <c r="BJ39" s="167"/>
      <c r="BK39" s="167"/>
      <c r="BL39" s="167"/>
      <c r="BM39" s="167"/>
      <c r="BN39" s="167"/>
      <c r="BO39" s="167"/>
      <c r="BP39" s="167"/>
      <c r="BQ39" s="167"/>
      <c r="BR39" s="167"/>
      <c r="BS39" s="167"/>
      <c r="BT39" s="167"/>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row>
    <row r="40" spans="1:257" x14ac:dyDescent="0.3">
      <c r="A40" s="79" t="s">
        <v>62</v>
      </c>
      <c r="B40" s="191"/>
      <c r="C40" s="192"/>
      <c r="D40" s="192"/>
      <c r="E40" s="192"/>
      <c r="F40" s="193"/>
      <c r="G40" s="193"/>
      <c r="H40" s="193"/>
      <c r="I40" s="193"/>
      <c r="J40" s="194"/>
      <c r="K40" s="195"/>
      <c r="L40" s="63"/>
      <c r="M40" s="80" t="s">
        <v>110</v>
      </c>
      <c r="N40" s="58"/>
      <c r="O40" s="62"/>
      <c r="P40" s="26"/>
      <c r="R40" s="22"/>
      <c r="S40" s="167"/>
      <c r="T40" s="167"/>
      <c r="U40" s="167"/>
      <c r="V40" s="167"/>
      <c r="W40" s="167"/>
      <c r="X40" s="166"/>
      <c r="Y40" s="166"/>
      <c r="Z40" s="166"/>
      <c r="AA40" s="166"/>
      <c r="AB40" s="166"/>
      <c r="AC40" s="166"/>
      <c r="AD40" s="166"/>
      <c r="AE40" s="166"/>
      <c r="AF40" s="167"/>
      <c r="AG40" s="167"/>
      <c r="AH40" s="167"/>
      <c r="AI40" s="167"/>
      <c r="AJ40" s="167"/>
      <c r="AK40" s="167"/>
      <c r="AL40" s="167"/>
      <c r="AM40" s="167"/>
      <c r="AN40" s="167"/>
      <c r="AO40" s="167"/>
      <c r="AP40" s="167"/>
      <c r="AQ40" s="167"/>
      <c r="AR40" s="167"/>
      <c r="AS40" s="167"/>
      <c r="AT40" s="167"/>
      <c r="AU40" s="167"/>
      <c r="AV40" s="167"/>
      <c r="AW40" s="167"/>
      <c r="AX40" s="167"/>
      <c r="AY40" s="167"/>
      <c r="AZ40" s="167"/>
      <c r="BA40" s="167"/>
      <c r="BB40" s="167"/>
      <c r="BC40" s="167"/>
      <c r="BD40" s="167"/>
      <c r="BE40" s="167"/>
      <c r="BF40" s="167"/>
      <c r="BG40" s="167"/>
      <c r="BH40" s="167"/>
      <c r="BI40" s="167"/>
      <c r="BJ40" s="167"/>
      <c r="BK40" s="167"/>
      <c r="BL40" s="167"/>
      <c r="BM40" s="167"/>
      <c r="BN40" s="167"/>
      <c r="BO40" s="167"/>
      <c r="BP40" s="167"/>
      <c r="BQ40" s="167"/>
      <c r="BR40" s="167"/>
      <c r="BS40" s="167"/>
      <c r="BT40" s="167"/>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row>
    <row r="41" spans="1:257" x14ac:dyDescent="0.3">
      <c r="A41" s="81" t="s">
        <v>116</v>
      </c>
      <c r="B41" s="155"/>
      <c r="C41" s="155"/>
      <c r="D41" s="155"/>
      <c r="E41" s="155"/>
      <c r="F41" s="155"/>
      <c r="G41" s="155" t="s">
        <v>435</v>
      </c>
      <c r="H41" s="155"/>
      <c r="I41" s="155"/>
      <c r="J41" s="155"/>
      <c r="K41" s="146"/>
      <c r="L41" s="146"/>
      <c r="M41" s="3"/>
      <c r="N41" s="58"/>
      <c r="O41" s="62"/>
      <c r="P41" s="26"/>
      <c r="R41" s="22"/>
      <c r="S41" s="167"/>
      <c r="T41" s="167"/>
      <c r="U41" s="167"/>
      <c r="V41" s="167"/>
      <c r="W41" s="167"/>
      <c r="X41" s="166"/>
      <c r="Y41" s="166"/>
      <c r="Z41" s="166"/>
      <c r="AA41" s="166"/>
      <c r="AB41" s="166"/>
      <c r="AC41" s="166"/>
      <c r="AD41" s="166"/>
      <c r="AE41" s="166"/>
      <c r="AF41" s="167"/>
      <c r="AG41" s="167"/>
      <c r="AH41" s="167"/>
      <c r="AI41" s="167"/>
      <c r="AJ41" s="167"/>
      <c r="AK41" s="167"/>
      <c r="AL41" s="167"/>
      <c r="AM41" s="167"/>
      <c r="AN41" s="167"/>
      <c r="AO41" s="167"/>
      <c r="AP41" s="167"/>
      <c r="AQ41" s="167"/>
      <c r="AR41" s="167"/>
      <c r="AS41" s="167"/>
      <c r="AT41" s="167"/>
      <c r="AU41" s="167"/>
      <c r="AV41" s="167"/>
      <c r="AW41" s="167"/>
      <c r="AX41" s="167"/>
      <c r="AY41" s="167"/>
      <c r="AZ41" s="167"/>
      <c r="BA41" s="167"/>
      <c r="BB41" s="167"/>
      <c r="BC41" s="167"/>
      <c r="BD41" s="167"/>
      <c r="BE41" s="167"/>
      <c r="BF41" s="167"/>
      <c r="BG41" s="167"/>
      <c r="BH41" s="167"/>
      <c r="BI41" s="167"/>
      <c r="BJ41" s="167"/>
      <c r="BK41" s="167"/>
      <c r="BL41" s="167"/>
      <c r="BM41" s="167"/>
      <c r="BN41" s="167"/>
      <c r="BO41" s="167"/>
      <c r="BP41" s="167"/>
      <c r="BQ41" s="167"/>
      <c r="BR41" s="167"/>
      <c r="BS41" s="167"/>
      <c r="BT41" s="167"/>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row>
    <row r="42" spans="1:257" x14ac:dyDescent="0.3">
      <c r="A42" s="26" t="s">
        <v>117</v>
      </c>
      <c r="B42" s="145"/>
      <c r="C42" s="146"/>
      <c r="D42" s="146"/>
      <c r="E42" s="146"/>
      <c r="F42" s="146"/>
      <c r="G42" s="146"/>
      <c r="H42" s="146"/>
      <c r="I42" s="146"/>
      <c r="J42" s="146"/>
      <c r="K42" s="146"/>
      <c r="L42" s="146"/>
      <c r="M42" s="3"/>
      <c r="N42" s="551" t="e">
        <f>SUM(B40:I40)/(B39)</f>
        <v>#DIV/0!</v>
      </c>
      <c r="O42" s="67" t="s">
        <v>118</v>
      </c>
      <c r="P42" s="68" t="str">
        <f>'Classement EA'!B36</f>
        <v>&gt;</v>
      </c>
      <c r="Q42" s="173" t="e">
        <f>'Classement EA'!C36</f>
        <v>#N/A</v>
      </c>
      <c r="R42" s="70" t="s">
        <v>119</v>
      </c>
      <c r="S42" s="167"/>
      <c r="T42" s="167" t="e">
        <f>'Classement EA'!D36</f>
        <v>#N/A</v>
      </c>
      <c r="U42" s="167"/>
      <c r="V42" s="167"/>
      <c r="W42" s="167"/>
      <c r="X42" s="166"/>
      <c r="Y42" s="166"/>
      <c r="Z42" s="166"/>
      <c r="AA42" s="166"/>
      <c r="AB42" s="166"/>
      <c r="AC42" s="166"/>
      <c r="AD42" s="166" t="e">
        <f>IF(N42&gt;=Q42,0,1)+IF(N42&gt;=T42,0,1)</f>
        <v>#DIV/0!</v>
      </c>
      <c r="AE42" s="166" t="e">
        <f>IF(AD42=1,AD42,0)+IF(AD42=2,AD42,0)</f>
        <v>#DIV/0!</v>
      </c>
      <c r="AF42" s="167"/>
      <c r="AG42" s="167" t="str">
        <f>A41</f>
        <v>Utilisation annuelle des tracteurs</v>
      </c>
      <c r="AH42" s="167"/>
      <c r="AI42" s="167"/>
      <c r="AJ42" s="167"/>
      <c r="AK42" s="167">
        <v>0</v>
      </c>
      <c r="AL42" s="167">
        <v>1</v>
      </c>
      <c r="AM42" s="167">
        <v>2</v>
      </c>
      <c r="AN42" s="167"/>
      <c r="AO42" s="167">
        <v>0</v>
      </c>
      <c r="AP42" s="167">
        <v>1</v>
      </c>
      <c r="AQ42" s="167">
        <v>2</v>
      </c>
      <c r="AR42" s="167"/>
      <c r="AS42" s="167"/>
      <c r="AT42" s="167"/>
      <c r="AU42" s="167">
        <v>1</v>
      </c>
      <c r="AV42" s="167">
        <v>1</v>
      </c>
      <c r="AW42" s="167"/>
      <c r="AX42" s="167">
        <v>4</v>
      </c>
      <c r="AY42" s="167">
        <v>1</v>
      </c>
      <c r="AZ42" s="167"/>
      <c r="BA42" s="167">
        <v>2</v>
      </c>
      <c r="BB42" s="167">
        <v>1</v>
      </c>
      <c r="BC42" s="167"/>
      <c r="BD42" s="167"/>
      <c r="BE42" s="167"/>
      <c r="BF42" s="167"/>
      <c r="BG42" s="167"/>
      <c r="BH42" s="167"/>
      <c r="BI42" s="167"/>
      <c r="BJ42" s="167"/>
      <c r="BK42" s="167"/>
      <c r="BL42" s="167"/>
      <c r="BM42" s="167"/>
      <c r="BN42" s="167"/>
      <c r="BO42" s="167"/>
      <c r="BP42" s="167"/>
      <c r="BQ42" s="167"/>
      <c r="BR42" s="167"/>
      <c r="BS42" s="167"/>
      <c r="BT42" s="167"/>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row>
    <row r="43" spans="1:257" x14ac:dyDescent="0.3">
      <c r="A43" s="2" t="s">
        <v>120</v>
      </c>
      <c r="B43" s="145"/>
      <c r="C43" s="156"/>
      <c r="D43" s="156"/>
      <c r="E43" s="156"/>
      <c r="F43" s="156"/>
      <c r="G43" s="156"/>
      <c r="H43" s="156"/>
      <c r="I43" s="156"/>
      <c r="J43" s="156"/>
      <c r="K43" s="156"/>
      <c r="L43" s="156"/>
      <c r="N43" s="549" t="e">
        <f>SUM(B40:K40)/L17</f>
        <v>#DIV/0!</v>
      </c>
      <c r="O43" s="67" t="s">
        <v>121</v>
      </c>
      <c r="P43" s="68" t="str">
        <f>'Classement EA'!B37</f>
        <v>&lt;</v>
      </c>
      <c r="Q43" s="95" t="e">
        <f>'Classement EA'!C37</f>
        <v>#N/A</v>
      </c>
      <c r="R43" s="70" t="s">
        <v>122</v>
      </c>
      <c r="S43" s="167"/>
      <c r="T43" s="167" t="e">
        <f>'Classement EA'!D37</f>
        <v>#N/A</v>
      </c>
      <c r="U43" s="167"/>
      <c r="V43" s="167"/>
      <c r="W43" s="167"/>
      <c r="X43" s="166"/>
      <c r="Y43" s="166"/>
      <c r="Z43" s="166"/>
      <c r="AA43" s="166"/>
      <c r="AB43" s="166"/>
      <c r="AC43" s="166"/>
      <c r="AD43" s="166" t="e">
        <f>IF(N43&lt;=Q43,0,1)+IF(N43&lt;=T43,0,1)</f>
        <v>#DIV/0!</v>
      </c>
      <c r="AE43" s="166" t="e">
        <f>IF(AD43=1,AD43,0)+IF(AD43=2,AD43+3,0)</f>
        <v>#DIV/0!</v>
      </c>
      <c r="AF43" s="167"/>
      <c r="AG43" s="167" t="str">
        <f>A41</f>
        <v>Utilisation annuelle des tracteurs</v>
      </c>
      <c r="AH43" s="167"/>
      <c r="AI43" s="167"/>
      <c r="AJ43" s="167"/>
      <c r="AK43" s="167">
        <v>0</v>
      </c>
      <c r="AL43" s="167">
        <v>1</v>
      </c>
      <c r="AM43" s="167">
        <v>2</v>
      </c>
      <c r="AN43" s="167"/>
      <c r="AO43" s="167">
        <v>0</v>
      </c>
      <c r="AP43" s="167">
        <v>1</v>
      </c>
      <c r="AQ43" s="167">
        <v>5</v>
      </c>
      <c r="AR43" s="167"/>
      <c r="AS43" s="167"/>
      <c r="AT43" s="167"/>
      <c r="AU43" s="167">
        <v>1</v>
      </c>
      <c r="AV43" s="167">
        <v>1</v>
      </c>
      <c r="AW43" s="167"/>
      <c r="AX43" s="167">
        <v>4</v>
      </c>
      <c r="AY43" s="167">
        <v>1</v>
      </c>
      <c r="AZ43" s="167"/>
      <c r="BA43" s="167">
        <v>2</v>
      </c>
      <c r="BB43" s="167">
        <v>1</v>
      </c>
      <c r="BC43" s="167"/>
      <c r="BD43" s="167"/>
      <c r="BE43" s="167"/>
      <c r="BF43" s="167"/>
      <c r="BG43" s="167"/>
      <c r="BH43" s="167"/>
      <c r="BI43" s="167"/>
      <c r="BJ43" s="167"/>
      <c r="BK43" s="167"/>
      <c r="BL43" s="167"/>
      <c r="BM43" s="167"/>
      <c r="BN43" s="167"/>
      <c r="BO43" s="167"/>
      <c r="BP43" s="167"/>
      <c r="BQ43" s="167"/>
      <c r="BR43" s="167"/>
      <c r="BS43" s="167"/>
      <c r="BT43" s="167"/>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row>
    <row r="44" spans="1:257" ht="8.1" customHeight="1" x14ac:dyDescent="0.3">
      <c r="A44" s="82"/>
      <c r="B44" s="157"/>
      <c r="C44" s="158"/>
      <c r="D44" s="158"/>
      <c r="E44" s="158"/>
      <c r="F44" s="158"/>
      <c r="G44" s="158"/>
      <c r="H44" s="158"/>
      <c r="I44" s="158"/>
      <c r="J44" s="158"/>
      <c r="K44" s="158"/>
      <c r="L44" s="158"/>
      <c r="M44" s="83"/>
      <c r="N44" s="84"/>
      <c r="O44" s="85"/>
      <c r="P44" s="86"/>
      <c r="Q44" s="83"/>
      <c r="R44" s="87"/>
      <c r="S44" s="167"/>
      <c r="T44" s="167"/>
      <c r="U44" s="166"/>
      <c r="V44" s="166"/>
      <c r="W44" s="166"/>
      <c r="X44" s="166"/>
      <c r="Y44" s="166"/>
      <c r="Z44" s="166"/>
      <c r="AA44" s="166"/>
      <c r="AB44" s="166"/>
      <c r="AC44" s="166"/>
      <c r="AD44" s="166"/>
      <c r="AE44" s="166"/>
      <c r="AF44" s="167"/>
      <c r="AG44" s="167"/>
      <c r="AH44" s="167"/>
      <c r="AI44" s="167"/>
      <c r="AJ44" s="167"/>
      <c r="AK44" s="167"/>
      <c r="AL44" s="167"/>
      <c r="AM44" s="167"/>
      <c r="AN44" s="167"/>
      <c r="AO44" s="167"/>
      <c r="AP44" s="167"/>
      <c r="AQ44" s="167"/>
      <c r="AR44" s="167"/>
      <c r="AS44" s="167"/>
      <c r="AT44" s="167"/>
      <c r="AU44" s="167"/>
      <c r="AV44" s="167"/>
      <c r="AW44" s="167"/>
      <c r="AX44" s="167"/>
      <c r="AY44" s="167"/>
      <c r="AZ44" s="167"/>
      <c r="BA44" s="167"/>
      <c r="BB44" s="167"/>
      <c r="BC44" s="167"/>
      <c r="BD44" s="167"/>
      <c r="BE44" s="167"/>
      <c r="BF44" s="167"/>
      <c r="BG44" s="167"/>
      <c r="BH44" s="167"/>
      <c r="BI44" s="167"/>
      <c r="BJ44" s="167"/>
      <c r="BK44" s="167"/>
      <c r="BL44" s="167"/>
      <c r="BM44" s="167"/>
      <c r="BN44" s="167"/>
      <c r="BO44" s="167"/>
      <c r="BP44" s="167"/>
      <c r="BQ44" s="167"/>
      <c r="BR44" s="167"/>
      <c r="BS44" s="167"/>
      <c r="BT44" s="167"/>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row>
    <row r="45" spans="1:257" ht="8.1" customHeight="1" x14ac:dyDescent="0.3">
      <c r="A45" s="12"/>
      <c r="B45" s="12"/>
      <c r="C45" s="16"/>
      <c r="D45" s="16"/>
      <c r="E45" s="16"/>
      <c r="F45" s="16"/>
      <c r="G45" s="16"/>
      <c r="H45" s="16"/>
      <c r="I45" s="16"/>
      <c r="J45" s="16"/>
      <c r="K45" s="16"/>
      <c r="L45" s="16"/>
      <c r="M45" s="16"/>
      <c r="N45" s="51"/>
      <c r="O45" s="88"/>
      <c r="P45" s="53"/>
      <c r="Q45" s="16"/>
      <c r="R45" s="17"/>
      <c r="S45" s="167"/>
      <c r="T45" s="167"/>
      <c r="U45" s="166"/>
      <c r="V45" s="166"/>
      <c r="W45" s="166"/>
      <c r="X45" s="166"/>
      <c r="Y45" s="166"/>
      <c r="Z45" s="166"/>
      <c r="AA45" s="166"/>
      <c r="AB45" s="166"/>
      <c r="AC45" s="166"/>
      <c r="AD45" s="166"/>
      <c r="AE45" s="166"/>
      <c r="AF45" s="167"/>
      <c r="AG45" s="167"/>
      <c r="AH45" s="167"/>
      <c r="AI45" s="167"/>
      <c r="AJ45" s="167"/>
      <c r="AK45" s="167"/>
      <c r="AL45" s="167"/>
      <c r="AM45" s="167"/>
      <c r="AN45" s="167"/>
      <c r="AO45" s="167"/>
      <c r="AP45" s="167"/>
      <c r="AQ45" s="167"/>
      <c r="AR45" s="167"/>
      <c r="AS45" s="167"/>
      <c r="AT45" s="167"/>
      <c r="AU45" s="167"/>
      <c r="AV45" s="167"/>
      <c r="AW45" s="167"/>
      <c r="AX45" s="167"/>
      <c r="AY45" s="167"/>
      <c r="AZ45" s="167"/>
      <c r="BA45" s="167"/>
      <c r="BB45" s="167"/>
      <c r="BC45" s="167"/>
      <c r="BD45" s="167"/>
      <c r="BE45" s="167"/>
      <c r="BF45" s="167"/>
      <c r="BG45" s="167"/>
      <c r="BH45" s="167"/>
      <c r="BI45" s="167"/>
      <c r="BJ45" s="167"/>
      <c r="BK45" s="167"/>
      <c r="BL45" s="167"/>
      <c r="BM45" s="167"/>
      <c r="BN45" s="167"/>
      <c r="BO45" s="167"/>
      <c r="BP45" s="167"/>
      <c r="BQ45" s="167"/>
      <c r="BR45" s="167"/>
      <c r="BS45" s="167"/>
      <c r="BT45" s="167"/>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row>
    <row r="46" spans="1:257" ht="15.6" x14ac:dyDescent="0.3">
      <c r="A46" s="18" t="s">
        <v>58</v>
      </c>
      <c r="B46" s="19"/>
      <c r="C46" s="20"/>
      <c r="D46" s="20"/>
      <c r="E46" s="20"/>
      <c r="F46" s="20"/>
      <c r="G46" s="20"/>
      <c r="H46" s="20"/>
      <c r="I46" s="20"/>
      <c r="J46" s="20"/>
      <c r="K46" s="20"/>
      <c r="L46" s="20"/>
      <c r="M46" s="20"/>
      <c r="N46" s="55"/>
      <c r="O46" s="89"/>
      <c r="P46" s="57"/>
      <c r="R46" s="22"/>
      <c r="S46" s="167"/>
      <c r="T46" s="167"/>
      <c r="U46" s="677"/>
      <c r="V46" s="166"/>
      <c r="W46" s="166"/>
      <c r="X46" s="166"/>
      <c r="Y46" s="166"/>
      <c r="Z46" s="166"/>
      <c r="AA46" s="166"/>
      <c r="AB46" s="166"/>
      <c r="AC46" s="166"/>
      <c r="AD46" s="166"/>
      <c r="AE46" s="166"/>
      <c r="AF46" s="167"/>
      <c r="AG46" s="167"/>
      <c r="AH46" s="167"/>
      <c r="AI46" s="167"/>
      <c r="AJ46" s="167"/>
      <c r="AK46" s="167"/>
      <c r="AL46" s="167"/>
      <c r="AM46" s="167"/>
      <c r="AN46" s="167"/>
      <c r="AO46" s="167"/>
      <c r="AP46" s="167"/>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167"/>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row>
    <row r="47" spans="1:257" ht="8.1" customHeight="1" x14ac:dyDescent="0.3">
      <c r="A47" s="26"/>
      <c r="B47" s="26"/>
      <c r="C47" s="3"/>
      <c r="D47" s="3"/>
      <c r="E47" s="3"/>
      <c r="F47" s="3"/>
      <c r="G47" s="3"/>
      <c r="H47" s="3"/>
      <c r="I47" s="3"/>
      <c r="J47" s="3"/>
      <c r="K47" s="3"/>
      <c r="L47" s="3"/>
      <c r="M47" s="3"/>
      <c r="N47" s="58"/>
      <c r="O47" s="62"/>
      <c r="P47" s="57"/>
      <c r="R47" s="22"/>
      <c r="S47" s="167"/>
      <c r="T47" s="167"/>
      <c r="U47" s="166"/>
      <c r="V47" s="166"/>
      <c r="W47" s="166"/>
      <c r="X47" s="166"/>
      <c r="Y47" s="166"/>
      <c r="Z47" s="166"/>
      <c r="AA47" s="166"/>
      <c r="AB47" s="166"/>
      <c r="AC47" s="166"/>
      <c r="AD47" s="166"/>
      <c r="AE47" s="166"/>
      <c r="AF47" s="167"/>
      <c r="AG47" s="167"/>
      <c r="AH47" s="167"/>
      <c r="AI47" s="167"/>
      <c r="AJ47" s="167"/>
      <c r="AK47" s="167"/>
      <c r="AL47" s="167"/>
      <c r="AM47" s="167"/>
      <c r="AN47" s="167"/>
      <c r="AO47" s="167"/>
      <c r="AP47" s="167"/>
      <c r="AQ47" s="167"/>
      <c r="AR47" s="167"/>
      <c r="AS47" s="167"/>
      <c r="AT47" s="167"/>
      <c r="AU47" s="167"/>
      <c r="AV47" s="167"/>
      <c r="AW47" s="167"/>
      <c r="AX47" s="167"/>
      <c r="AY47" s="167"/>
      <c r="AZ47" s="167"/>
      <c r="BA47" s="167"/>
      <c r="BB47" s="167"/>
      <c r="BC47" s="167"/>
      <c r="BD47" s="167"/>
      <c r="BE47" s="167"/>
      <c r="BF47" s="167"/>
      <c r="BG47" s="167"/>
      <c r="BH47" s="167"/>
      <c r="BI47" s="167"/>
      <c r="BJ47" s="167"/>
      <c r="BK47" s="167"/>
      <c r="BL47" s="167"/>
      <c r="BM47" s="167"/>
      <c r="BN47" s="167"/>
      <c r="BO47" s="167"/>
      <c r="BP47" s="167"/>
      <c r="BQ47" s="167"/>
      <c r="BR47" s="167"/>
      <c r="BS47" s="167"/>
      <c r="BT47" s="167"/>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row>
    <row r="48" spans="1:257" ht="15" customHeight="1" x14ac:dyDescent="0.3">
      <c r="A48" s="64" t="s">
        <v>235</v>
      </c>
      <c r="B48" s="26"/>
      <c r="C48" s="3"/>
      <c r="D48" s="3"/>
      <c r="E48" s="3"/>
      <c r="F48" s="3"/>
      <c r="G48" s="3"/>
      <c r="H48" s="3"/>
      <c r="I48" s="3"/>
      <c r="J48" s="3"/>
      <c r="K48" s="3"/>
      <c r="L48" s="3"/>
      <c r="M48" s="3"/>
      <c r="N48" s="58"/>
      <c r="O48" s="62"/>
      <c r="P48" s="57"/>
      <c r="R48" s="22"/>
      <c r="S48" s="167"/>
      <c r="T48" s="167"/>
      <c r="U48" s="166"/>
      <c r="V48" s="166"/>
      <c r="W48" s="166"/>
      <c r="X48" s="166"/>
      <c r="Y48" s="166"/>
      <c r="Z48" s="166"/>
      <c r="AA48" s="166"/>
      <c r="AB48" s="166"/>
      <c r="AC48" s="166"/>
      <c r="AD48" s="166"/>
      <c r="AE48" s="166"/>
      <c r="AF48" s="167"/>
      <c r="AG48" s="167"/>
      <c r="AH48" s="167"/>
      <c r="AI48" s="167"/>
      <c r="AJ48" s="167"/>
      <c r="AK48" s="167"/>
      <c r="AL48" s="167"/>
      <c r="AM48" s="167"/>
      <c r="AN48" s="167"/>
      <c r="AO48" s="167"/>
      <c r="AP48" s="167"/>
      <c r="AQ48" s="167"/>
      <c r="AR48" s="167"/>
      <c r="AS48" s="167"/>
      <c r="AT48" s="167"/>
      <c r="AU48" s="167"/>
      <c r="AV48" s="167"/>
      <c r="AW48" s="167"/>
      <c r="AX48" s="167"/>
      <c r="AY48" s="167"/>
      <c r="AZ48" s="167"/>
      <c r="BA48" s="167"/>
      <c r="BB48" s="167"/>
      <c r="BC48" s="167"/>
      <c r="BD48" s="167"/>
      <c r="BE48" s="167"/>
      <c r="BF48" s="167"/>
      <c r="BG48" s="167"/>
      <c r="BH48" s="167"/>
      <c r="BI48" s="167"/>
      <c r="BJ48" s="167"/>
      <c r="BK48" s="167"/>
      <c r="BL48" s="167"/>
      <c r="BM48" s="167"/>
      <c r="BN48" s="167"/>
      <c r="BO48" s="167"/>
      <c r="BP48" s="167"/>
      <c r="BQ48" s="167"/>
      <c r="BR48" s="167"/>
      <c r="BS48" s="167"/>
      <c r="BT48" s="167"/>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row>
    <row r="49" spans="1:257" ht="15" customHeight="1" x14ac:dyDescent="0.3">
      <c r="A49" s="92" t="s">
        <v>233</v>
      </c>
      <c r="B49" s="26"/>
      <c r="C49" s="3"/>
      <c r="D49" s="3"/>
      <c r="E49" s="3"/>
      <c r="F49" s="3"/>
      <c r="G49" s="3"/>
      <c r="H49" s="3"/>
      <c r="I49" s="3"/>
      <c r="J49" s="3"/>
      <c r="K49" s="3"/>
      <c r="L49" s="3"/>
      <c r="M49" s="3"/>
      <c r="N49" s="58"/>
      <c r="O49" s="62"/>
      <c r="P49" s="57"/>
      <c r="R49" s="22"/>
      <c r="S49" s="167"/>
      <c r="T49" s="167"/>
      <c r="U49" s="166"/>
      <c r="V49" s="166"/>
      <c r="W49" s="166"/>
      <c r="X49" s="166"/>
      <c r="Y49" s="166"/>
      <c r="Z49" s="166"/>
      <c r="AA49" s="166"/>
      <c r="AB49" s="166"/>
      <c r="AC49" s="166"/>
      <c r="AD49" s="166"/>
      <c r="AE49" s="166"/>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row>
    <row r="50" spans="1:257" x14ac:dyDescent="0.3">
      <c r="A50" s="2" t="s">
        <v>123</v>
      </c>
      <c r="B50" s="813"/>
      <c r="C50" s="814"/>
      <c r="D50" s="814"/>
      <c r="E50" s="814"/>
      <c r="F50" s="814"/>
      <c r="G50" s="814"/>
      <c r="H50" s="814"/>
      <c r="I50" s="814"/>
      <c r="J50" s="815"/>
      <c r="N50" s="58"/>
      <c r="O50" s="62"/>
      <c r="P50" s="26"/>
      <c r="R50" s="90"/>
      <c r="S50" s="167"/>
      <c r="T50" s="167"/>
      <c r="U50" s="166"/>
      <c r="V50" s="166"/>
      <c r="W50" s="166"/>
      <c r="X50" s="166"/>
      <c r="Y50" s="166"/>
      <c r="Z50" s="166"/>
      <c r="AA50" s="166"/>
      <c r="AB50" s="166"/>
      <c r="AC50" s="166"/>
      <c r="AD50" s="166"/>
      <c r="AE50" s="166"/>
      <c r="AF50" s="167"/>
      <c r="AG50" s="167"/>
      <c r="AH50" s="167"/>
      <c r="AI50" s="167"/>
      <c r="AJ50" s="167"/>
      <c r="AK50" s="167"/>
      <c r="AL50" s="167"/>
      <c r="AM50" s="167"/>
      <c r="AN50" s="167"/>
      <c r="AO50" s="167"/>
      <c r="AP50" s="167"/>
      <c r="AQ50" s="167"/>
      <c r="AR50" s="167"/>
      <c r="AS50" s="167"/>
      <c r="AT50" s="167"/>
      <c r="AU50" s="167"/>
      <c r="AV50" s="167"/>
      <c r="AW50" s="167"/>
      <c r="AX50" s="167"/>
      <c r="AY50" s="167"/>
      <c r="AZ50" s="167"/>
      <c r="BA50" s="167"/>
      <c r="BB50" s="167"/>
      <c r="BC50" s="167"/>
      <c r="BD50" s="167"/>
      <c r="BE50" s="167"/>
      <c r="BF50" s="167"/>
      <c r="BG50" s="167"/>
      <c r="BH50" s="167"/>
      <c r="BI50" s="167"/>
      <c r="BJ50" s="167"/>
      <c r="BK50" s="167"/>
      <c r="BL50" s="167"/>
      <c r="BM50" s="167"/>
      <c r="BN50" s="167"/>
      <c r="BO50" s="167"/>
      <c r="BP50" s="167"/>
      <c r="BQ50" s="167"/>
      <c r="BR50" s="167"/>
      <c r="BS50" s="167"/>
      <c r="BT50" s="167"/>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row>
    <row r="51" spans="1:257" x14ac:dyDescent="0.3">
      <c r="A51" s="39" t="s">
        <v>109</v>
      </c>
      <c r="B51" s="191"/>
      <c r="C51" s="91" t="s">
        <v>56</v>
      </c>
      <c r="M51" s="92"/>
      <c r="N51" s="93"/>
      <c r="O51" s="62"/>
      <c r="P51" s="57"/>
      <c r="Q51" s="40"/>
      <c r="R51" s="90"/>
      <c r="S51" s="167"/>
      <c r="T51" s="167"/>
      <c r="U51" s="166"/>
      <c r="V51" s="166"/>
      <c r="W51" s="166"/>
      <c r="X51" s="166"/>
      <c r="Y51" s="166"/>
      <c r="Z51" s="166"/>
      <c r="AA51" s="166"/>
      <c r="AB51" s="166"/>
      <c r="AC51" s="166"/>
      <c r="AD51" s="166"/>
      <c r="AE51" s="166"/>
      <c r="AF51" s="167"/>
      <c r="AG51" s="167"/>
      <c r="AH51" s="167"/>
      <c r="AI51" s="167"/>
      <c r="AJ51" s="167"/>
      <c r="AK51" s="167"/>
      <c r="AL51" s="167"/>
      <c r="AM51" s="167"/>
      <c r="AN51" s="167"/>
      <c r="AO51" s="167"/>
      <c r="AP51" s="167"/>
      <c r="AQ51" s="167"/>
      <c r="AR51" s="167"/>
      <c r="AS51" s="167"/>
      <c r="AT51" s="167"/>
      <c r="AU51" s="167"/>
      <c r="AV51" s="167"/>
      <c r="AW51" s="167"/>
      <c r="AX51" s="167"/>
      <c r="AY51" s="167"/>
      <c r="AZ51" s="167"/>
      <c r="BA51" s="167"/>
      <c r="BB51" s="167"/>
      <c r="BC51" s="167"/>
      <c r="BD51" s="167"/>
      <c r="BE51" s="167"/>
      <c r="BF51" s="167"/>
      <c r="BG51" s="167"/>
      <c r="BH51" s="167"/>
      <c r="BI51" s="167"/>
      <c r="BJ51" s="167"/>
      <c r="BK51" s="167"/>
      <c r="BL51" s="167"/>
      <c r="BM51" s="167"/>
      <c r="BN51" s="167"/>
      <c r="BO51" s="167"/>
      <c r="BP51" s="167"/>
      <c r="BQ51" s="167"/>
      <c r="BR51" s="167"/>
      <c r="BS51" s="167"/>
      <c r="BT51" s="167"/>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row>
    <row r="52" spans="1:257" x14ac:dyDescent="0.3">
      <c r="A52" s="26" t="s">
        <v>111</v>
      </c>
      <c r="B52" s="196"/>
      <c r="C52" s="91" t="s">
        <v>22</v>
      </c>
      <c r="D52" s="91"/>
      <c r="E52" s="91"/>
      <c r="F52" s="91"/>
      <c r="G52" s="91"/>
      <c r="H52" s="91"/>
      <c r="I52" s="91"/>
      <c r="J52" s="91"/>
      <c r="K52" s="91"/>
      <c r="L52" s="91"/>
      <c r="M52" s="91"/>
      <c r="N52" s="93"/>
      <c r="O52" s="62"/>
      <c r="P52" s="57"/>
      <c r="Q52" s="40"/>
      <c r="R52" s="90"/>
      <c r="S52" s="167"/>
      <c r="T52" s="167"/>
      <c r="U52" s="166"/>
      <c r="V52" s="166"/>
      <c r="W52" s="166"/>
      <c r="X52" s="166"/>
      <c r="Y52" s="166"/>
      <c r="Z52" s="166"/>
      <c r="AA52" s="166"/>
      <c r="AB52" s="166"/>
      <c r="AC52" s="166"/>
      <c r="AD52" s="166"/>
      <c r="AE52" s="166"/>
      <c r="AF52" s="167"/>
      <c r="AG52" s="167"/>
      <c r="AH52" s="167"/>
      <c r="AI52" s="167"/>
      <c r="AJ52" s="167"/>
      <c r="AK52" s="167"/>
      <c r="AL52" s="167"/>
      <c r="AM52" s="167"/>
      <c r="AN52" s="167"/>
      <c r="AO52" s="167"/>
      <c r="AP52" s="167"/>
      <c r="AQ52" s="167"/>
      <c r="AR52" s="167"/>
      <c r="AS52" s="167"/>
      <c r="AT52" s="167"/>
      <c r="AU52" s="167"/>
      <c r="AV52" s="167"/>
      <c r="AW52" s="167"/>
      <c r="AX52" s="167"/>
      <c r="AY52" s="167"/>
      <c r="AZ52" s="167"/>
      <c r="BA52" s="167"/>
      <c r="BB52" s="167"/>
      <c r="BC52" s="167"/>
      <c r="BD52" s="167"/>
      <c r="BE52" s="167"/>
      <c r="BF52" s="167"/>
      <c r="BG52" s="167"/>
      <c r="BH52" s="167"/>
      <c r="BI52" s="167"/>
      <c r="BJ52" s="167"/>
      <c r="BK52" s="167"/>
      <c r="BL52" s="167"/>
      <c r="BM52" s="167"/>
      <c r="BN52" s="167"/>
      <c r="BO52" s="167"/>
      <c r="BP52" s="167"/>
      <c r="BQ52" s="167"/>
      <c r="BR52" s="167"/>
      <c r="BS52" s="167"/>
      <c r="BT52" s="167"/>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row>
    <row r="53" spans="1:257" x14ac:dyDescent="0.3">
      <c r="A53" s="26" t="s">
        <v>112</v>
      </c>
      <c r="B53" s="197"/>
      <c r="C53" s="28" t="s">
        <v>113</v>
      </c>
      <c r="D53" s="28"/>
      <c r="E53" s="28"/>
      <c r="F53" s="28"/>
      <c r="G53" s="28"/>
      <c r="H53" s="28"/>
      <c r="I53" s="28"/>
      <c r="J53" s="28"/>
      <c r="K53" s="28"/>
      <c r="L53" s="28"/>
      <c r="M53" s="28"/>
      <c r="N53" s="93"/>
      <c r="O53" s="62"/>
      <c r="P53" s="57"/>
      <c r="R53" s="22"/>
      <c r="S53" s="167"/>
      <c r="T53" s="167"/>
      <c r="U53" s="166"/>
      <c r="V53" s="166"/>
      <c r="W53" s="166"/>
      <c r="X53" s="166"/>
      <c r="Y53" s="166"/>
      <c r="Z53" s="166"/>
      <c r="AA53" s="166"/>
      <c r="AB53" s="166"/>
      <c r="AC53" s="166"/>
      <c r="AD53" s="166"/>
      <c r="AE53" s="166"/>
      <c r="AF53" s="167"/>
      <c r="AG53" s="167"/>
      <c r="AH53" s="167"/>
      <c r="AI53" s="167"/>
      <c r="AJ53" s="167"/>
      <c r="AK53" s="167"/>
      <c r="AL53" s="167"/>
      <c r="AM53" s="167"/>
      <c r="AN53" s="167"/>
      <c r="AO53" s="167"/>
      <c r="AP53" s="167"/>
      <c r="AQ53" s="167"/>
      <c r="AR53" s="167"/>
      <c r="AS53" s="167"/>
      <c r="AT53" s="167"/>
      <c r="AU53" s="167"/>
      <c r="AV53" s="167"/>
      <c r="AW53" s="167"/>
      <c r="AX53" s="167"/>
      <c r="AY53" s="167"/>
      <c r="AZ53" s="167"/>
      <c r="BA53" s="167"/>
      <c r="BB53" s="167"/>
      <c r="BC53" s="167"/>
      <c r="BD53" s="167"/>
      <c r="BE53" s="167"/>
      <c r="BF53" s="167"/>
      <c r="BG53" s="167"/>
      <c r="BH53" s="167"/>
      <c r="BI53" s="167"/>
      <c r="BJ53" s="167"/>
      <c r="BK53" s="167"/>
      <c r="BL53" s="167"/>
      <c r="BM53" s="167"/>
      <c r="BN53" s="167"/>
      <c r="BO53" s="167"/>
      <c r="BP53" s="167"/>
      <c r="BQ53" s="167"/>
      <c r="BR53" s="167"/>
      <c r="BS53" s="167"/>
      <c r="BT53" s="167"/>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row>
    <row r="54" spans="1:257" x14ac:dyDescent="0.3">
      <c r="A54" s="26" t="s">
        <v>62</v>
      </c>
      <c r="B54" s="197"/>
      <c r="C54" s="28" t="s">
        <v>124</v>
      </c>
      <c r="D54" s="28"/>
      <c r="E54" s="28"/>
      <c r="F54" s="28"/>
      <c r="G54" s="28"/>
      <c r="H54" s="28"/>
      <c r="I54" s="28"/>
      <c r="J54" s="28"/>
      <c r="K54" s="28"/>
      <c r="L54" s="28"/>
      <c r="M54" s="28"/>
      <c r="N54" s="93"/>
      <c r="O54" s="62"/>
      <c r="P54" s="57"/>
      <c r="R54" s="22"/>
      <c r="S54" s="167"/>
      <c r="T54" s="167"/>
      <c r="U54" s="166"/>
      <c r="V54" s="166"/>
      <c r="W54" s="166"/>
      <c r="X54" s="166"/>
      <c r="Y54" s="166"/>
      <c r="Z54" s="166"/>
      <c r="AA54" s="166"/>
      <c r="AB54" s="166"/>
      <c r="AC54" s="166"/>
      <c r="AD54" s="166"/>
      <c r="AE54" s="166"/>
      <c r="AF54" s="167"/>
      <c r="AG54" s="167"/>
      <c r="AH54" s="167"/>
      <c r="AI54" s="167"/>
      <c r="AJ54" s="167"/>
      <c r="AK54" s="167"/>
      <c r="AL54" s="167"/>
      <c r="AM54" s="167"/>
      <c r="AN54" s="167"/>
      <c r="AO54" s="167"/>
      <c r="AP54" s="167"/>
      <c r="AQ54" s="167"/>
      <c r="AR54" s="167"/>
      <c r="AS54" s="167"/>
      <c r="AT54" s="167"/>
      <c r="AU54" s="167"/>
      <c r="AV54" s="167"/>
      <c r="AW54" s="167"/>
      <c r="AX54" s="167"/>
      <c r="AY54" s="167"/>
      <c r="AZ54" s="167"/>
      <c r="BA54" s="167"/>
      <c r="BB54" s="167"/>
      <c r="BC54" s="167"/>
      <c r="BD54" s="167"/>
      <c r="BE54" s="167"/>
      <c r="BF54" s="167"/>
      <c r="BG54" s="167"/>
      <c r="BH54" s="167"/>
      <c r="BI54" s="167"/>
      <c r="BJ54" s="167"/>
      <c r="BK54" s="167"/>
      <c r="BL54" s="167"/>
      <c r="BM54" s="167"/>
      <c r="BN54" s="167"/>
      <c r="BO54" s="167"/>
      <c r="BP54" s="167"/>
      <c r="BQ54" s="167"/>
      <c r="BR54" s="167"/>
      <c r="BS54" s="167"/>
      <c r="BT54" s="167"/>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row>
    <row r="55" spans="1:257" x14ac:dyDescent="0.3">
      <c r="A55" s="26" t="s">
        <v>63</v>
      </c>
      <c r="B55" s="197"/>
      <c r="C55" s="28" t="s">
        <v>125</v>
      </c>
      <c r="D55" s="28"/>
      <c r="E55" s="28"/>
      <c r="F55" s="28"/>
      <c r="G55" s="28"/>
      <c r="H55" s="28"/>
      <c r="I55" s="28"/>
      <c r="J55" s="28"/>
      <c r="K55" s="28"/>
      <c r="L55" s="28"/>
      <c r="M55" s="28"/>
      <c r="N55" s="58"/>
      <c r="O55" s="59"/>
      <c r="P55" s="57"/>
      <c r="Q55" s="69"/>
      <c r="R55" s="70"/>
      <c r="S55" s="167"/>
      <c r="T55" s="167"/>
      <c r="U55" s="166"/>
      <c r="V55" s="166"/>
      <c r="W55" s="166"/>
      <c r="X55" s="166"/>
      <c r="Y55" s="166"/>
      <c r="Z55" s="166"/>
      <c r="AA55" s="166"/>
      <c r="AB55" s="166"/>
      <c r="AC55" s="166"/>
      <c r="AD55" s="166"/>
      <c r="AE55" s="166"/>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67"/>
      <c r="BH55" s="167"/>
      <c r="BI55" s="167"/>
      <c r="BJ55" s="167"/>
      <c r="BK55" s="167"/>
      <c r="BL55" s="167"/>
      <c r="BM55" s="167"/>
      <c r="BN55" s="167"/>
      <c r="BO55" s="167"/>
      <c r="BP55" s="167"/>
      <c r="BQ55" s="167"/>
      <c r="BR55" s="167"/>
      <c r="BS55" s="167"/>
      <c r="BT55" s="167"/>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row>
    <row r="56" spans="1:257" x14ac:dyDescent="0.3">
      <c r="A56" s="26"/>
      <c r="B56" s="197"/>
      <c r="C56" s="28" t="s">
        <v>126</v>
      </c>
      <c r="D56" s="28"/>
      <c r="E56" s="28"/>
      <c r="F56" s="28"/>
      <c r="G56" s="28"/>
      <c r="H56" s="28"/>
      <c r="I56" s="28"/>
      <c r="J56" s="28"/>
      <c r="K56" s="28"/>
      <c r="L56" s="28"/>
      <c r="M56" s="28"/>
      <c r="N56" s="58"/>
      <c r="P56" s="57"/>
      <c r="R56" s="70"/>
      <c r="S56" s="167"/>
      <c r="T56" s="167"/>
      <c r="U56" s="166"/>
      <c r="V56" s="166"/>
      <c r="W56" s="166"/>
      <c r="X56" s="166"/>
      <c r="Y56" s="166"/>
      <c r="Z56" s="166"/>
      <c r="AA56" s="166"/>
      <c r="AB56" s="166"/>
      <c r="AC56" s="166"/>
      <c r="AD56" s="166"/>
      <c r="AE56" s="166"/>
      <c r="AF56" s="167"/>
      <c r="AG56" s="167"/>
      <c r="AH56" s="167"/>
      <c r="AI56" s="167"/>
      <c r="AJ56" s="167"/>
      <c r="AK56" s="167"/>
      <c r="AL56" s="167"/>
      <c r="AM56" s="167"/>
      <c r="AN56" s="167"/>
      <c r="AO56" s="167"/>
      <c r="AP56" s="167"/>
      <c r="AQ56" s="167"/>
      <c r="AR56" s="167">
        <f>SUM(AQ56:AQ77)</f>
        <v>10</v>
      </c>
      <c r="AS56" s="671">
        <f>AR56/AR$139</f>
        <v>0.20833333333333334</v>
      </c>
      <c r="AT56" s="167"/>
      <c r="AU56" s="167"/>
      <c r="AV56" s="167"/>
      <c r="AW56" s="167"/>
      <c r="AX56" s="167"/>
      <c r="AY56" s="167"/>
      <c r="AZ56" s="167"/>
      <c r="BA56" s="167"/>
      <c r="BB56" s="167"/>
      <c r="BC56" s="167"/>
      <c r="BD56" s="167"/>
      <c r="BE56" s="167"/>
      <c r="BF56" s="167"/>
      <c r="BG56" s="167"/>
      <c r="BH56" s="167"/>
      <c r="BI56" s="167"/>
      <c r="BJ56" s="167"/>
      <c r="BK56" s="167"/>
      <c r="BL56" s="167"/>
      <c r="BM56" s="167"/>
      <c r="BN56" s="167"/>
      <c r="BO56" s="167"/>
      <c r="BP56" s="167"/>
      <c r="BQ56" s="167"/>
      <c r="BR56" s="167"/>
      <c r="BS56" s="167"/>
      <c r="BT56" s="167"/>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row>
    <row r="57" spans="1:257" ht="15.6" x14ac:dyDescent="0.3">
      <c r="A57" s="64" t="s">
        <v>127</v>
      </c>
      <c r="B57" s="94">
        <f>(IF(B51&lt;2001,B53*0.75,1)*IF(B51&lt;1201,0,1))+IF(B51&lt;1201,B53,0)+IF(B51&gt;2000,B53*0.5,0)</f>
        <v>0</v>
      </c>
      <c r="C57" s="92"/>
      <c r="D57" s="92"/>
      <c r="E57" s="92"/>
      <c r="F57" s="92"/>
      <c r="G57" s="92"/>
      <c r="H57" s="92"/>
      <c r="I57" s="92"/>
      <c r="J57" s="92"/>
      <c r="K57" s="92"/>
      <c r="L57" s="92"/>
      <c r="M57" s="92"/>
      <c r="N57" s="554">
        <f>(B57*B52/100)/(SUM(B55:B56)+0.00001)</f>
        <v>0</v>
      </c>
      <c r="O57" s="67" t="s">
        <v>64</v>
      </c>
      <c r="P57" s="68" t="str">
        <f>'Classement EA'!B47</f>
        <v>&lt;</v>
      </c>
      <c r="Q57" s="95">
        <f>IF(N57=0,0,'Classement EA'!C47)</f>
        <v>0</v>
      </c>
      <c r="R57" s="70" t="s">
        <v>64</v>
      </c>
      <c r="S57" s="167"/>
      <c r="T57" s="167" t="e">
        <f>'Classement EA'!D47</f>
        <v>#N/A</v>
      </c>
      <c r="U57" s="678">
        <f>SUM(N57,N61)</f>
        <v>0</v>
      </c>
      <c r="V57" s="166"/>
      <c r="W57" s="166"/>
      <c r="X57" s="166"/>
      <c r="Y57" s="166"/>
      <c r="Z57" s="166"/>
      <c r="AA57" s="679" t="e">
        <f>IF(N57&lt;=Q57,0,1)+IF(N57&lt;=T57,0,1)</f>
        <v>#N/A</v>
      </c>
      <c r="AB57" s="166"/>
      <c r="AC57" s="166"/>
      <c r="AD57" s="679" t="e">
        <f>SUM(AA57,AA61)</f>
        <v>#N/A</v>
      </c>
      <c r="AE57" s="675" t="e">
        <f>(IF(AD57=1,AD57+1,0)+IF(AD57=2,AD57+3,0))*IF(U65=0,2,1)</f>
        <v>#N/A</v>
      </c>
      <c r="AF57" s="167"/>
      <c r="AG57" s="676" t="str">
        <f>A48</f>
        <v>Module Récolte des COP</v>
      </c>
      <c r="AH57" s="167"/>
      <c r="AI57" s="167"/>
      <c r="AJ57" s="167"/>
      <c r="AK57" s="167">
        <v>0</v>
      </c>
      <c r="AL57" s="167">
        <v>1</v>
      </c>
      <c r="AM57" s="167">
        <v>2</v>
      </c>
      <c r="AN57" s="167"/>
      <c r="AO57" s="167">
        <v>0</v>
      </c>
      <c r="AP57" s="167">
        <v>2</v>
      </c>
      <c r="AQ57" s="167">
        <v>5</v>
      </c>
      <c r="AR57" s="167"/>
      <c r="AS57" s="167"/>
      <c r="AT57" s="167"/>
      <c r="AU57" s="167">
        <v>5</v>
      </c>
      <c r="AV57" s="167">
        <v>2</v>
      </c>
      <c r="AW57" s="167"/>
      <c r="AX57" s="676">
        <v>5</v>
      </c>
      <c r="AY57" s="167">
        <v>2</v>
      </c>
      <c r="AZ57" s="167"/>
      <c r="BA57" s="167">
        <v>2</v>
      </c>
      <c r="BB57" s="167">
        <v>1</v>
      </c>
      <c r="BC57" s="167"/>
      <c r="BD57" s="167"/>
      <c r="BE57" s="167"/>
      <c r="BF57" s="167"/>
      <c r="BG57" s="167"/>
      <c r="BH57" s="167"/>
      <c r="BI57" s="167"/>
      <c r="BJ57" s="167"/>
      <c r="BK57" s="167"/>
      <c r="BL57" s="167"/>
      <c r="BM57" s="167"/>
      <c r="BN57" s="167"/>
      <c r="BO57" s="167"/>
      <c r="BP57" s="167"/>
      <c r="BQ57" s="167"/>
      <c r="BR57" s="167"/>
      <c r="BS57" s="167"/>
      <c r="BT57" s="167"/>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row>
    <row r="58" spans="1:257" ht="15.6" x14ac:dyDescent="0.3">
      <c r="A58" s="64"/>
      <c r="B58" s="94"/>
      <c r="C58" s="92"/>
      <c r="D58" s="92"/>
      <c r="E58" s="92"/>
      <c r="F58" s="92"/>
      <c r="G58" s="92"/>
      <c r="H58" s="92"/>
      <c r="I58" s="92"/>
      <c r="J58" s="92"/>
      <c r="K58" s="92"/>
      <c r="L58" s="92"/>
      <c r="M58" s="92"/>
      <c r="N58" s="66"/>
      <c r="O58" s="67"/>
      <c r="P58" s="68"/>
      <c r="Q58" s="95"/>
      <c r="R58" s="70"/>
      <c r="S58" s="167"/>
      <c r="T58" s="167"/>
      <c r="U58" s="166"/>
      <c r="V58" s="166"/>
      <c r="W58" s="166"/>
      <c r="X58" s="166"/>
      <c r="Y58" s="166"/>
      <c r="Z58" s="166"/>
      <c r="AA58" s="166"/>
      <c r="AB58" s="166"/>
      <c r="AC58" s="166"/>
      <c r="AD58" s="166"/>
      <c r="AE58" s="675"/>
      <c r="AF58" s="167"/>
      <c r="AG58" s="676"/>
      <c r="AH58" s="167"/>
      <c r="AI58" s="167"/>
      <c r="AJ58" s="167"/>
      <c r="AK58" s="167"/>
      <c r="AL58" s="167"/>
      <c r="AM58" s="167"/>
      <c r="AN58" s="167"/>
      <c r="AO58" s="167"/>
      <c r="AP58" s="167"/>
      <c r="AQ58" s="167"/>
      <c r="AR58" s="167"/>
      <c r="AS58" s="167"/>
      <c r="AT58" s="167"/>
      <c r="AU58" s="167"/>
      <c r="AV58" s="167"/>
      <c r="AW58" s="167"/>
      <c r="AX58" s="167"/>
      <c r="AY58" s="167"/>
      <c r="AZ58" s="167"/>
      <c r="BA58" s="167"/>
      <c r="BB58" s="167"/>
      <c r="BC58" s="167"/>
      <c r="BD58" s="167"/>
      <c r="BE58" s="167"/>
      <c r="BF58" s="167"/>
      <c r="BG58" s="167"/>
      <c r="BH58" s="167"/>
      <c r="BI58" s="167"/>
      <c r="BJ58" s="167"/>
      <c r="BK58" s="167"/>
      <c r="BL58" s="167"/>
      <c r="BM58" s="167"/>
      <c r="BN58" s="167"/>
      <c r="BO58" s="167"/>
      <c r="BP58" s="167"/>
      <c r="BQ58" s="167"/>
      <c r="BR58" s="167"/>
      <c r="BS58" s="167"/>
      <c r="BT58" s="167"/>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row>
    <row r="59" spans="1:257" ht="15.6" x14ac:dyDescent="0.3">
      <c r="A59" s="301"/>
      <c r="B59" s="278" t="s">
        <v>339</v>
      </c>
      <c r="C59" s="423"/>
      <c r="D59" s="423"/>
      <c r="E59" s="423"/>
      <c r="F59" s="92"/>
      <c r="G59" s="92"/>
      <c r="H59" s="417"/>
      <c r="I59" s="92"/>
      <c r="J59" s="92"/>
      <c r="K59" s="426"/>
      <c r="L59" s="426"/>
      <c r="M59" s="92"/>
      <c r="N59" s="66"/>
      <c r="O59" s="67"/>
      <c r="P59" s="68"/>
      <c r="Q59" s="95"/>
      <c r="R59" s="70"/>
      <c r="S59" s="167"/>
      <c r="T59" s="167"/>
      <c r="U59" s="166"/>
      <c r="V59" s="166"/>
      <c r="W59" s="166"/>
      <c r="X59" s="166"/>
      <c r="Y59" s="166"/>
      <c r="Z59" s="166"/>
      <c r="AA59" s="166"/>
      <c r="AB59" s="166"/>
      <c r="AC59" s="166"/>
      <c r="AD59" s="166"/>
      <c r="AE59" s="675"/>
      <c r="AF59" s="167"/>
      <c r="AG59" s="676"/>
      <c r="AH59" s="167"/>
      <c r="AI59" s="167"/>
      <c r="AJ59" s="167"/>
      <c r="AK59" s="167"/>
      <c r="AL59" s="167"/>
      <c r="AM59" s="167"/>
      <c r="AN59" s="167"/>
      <c r="AO59" s="167"/>
      <c r="AP59" s="167"/>
      <c r="AQ59" s="167"/>
      <c r="AR59" s="167"/>
      <c r="AS59" s="167"/>
      <c r="AT59" s="167"/>
      <c r="AU59" s="167"/>
      <c r="AV59" s="167"/>
      <c r="AW59" s="167"/>
      <c r="AX59" s="167"/>
      <c r="AY59" s="167"/>
      <c r="AZ59" s="167"/>
      <c r="BA59" s="167"/>
      <c r="BB59" s="167"/>
      <c r="BC59" s="167"/>
      <c r="BD59" s="167"/>
      <c r="BE59" s="167"/>
      <c r="BF59" s="167"/>
      <c r="BG59" s="167"/>
      <c r="BH59" s="167"/>
      <c r="BI59" s="167"/>
      <c r="BJ59" s="167"/>
      <c r="BK59" s="167"/>
      <c r="BL59" s="167"/>
      <c r="BM59" s="167"/>
      <c r="BN59" s="167"/>
      <c r="BO59" s="167"/>
      <c r="BP59" s="167"/>
      <c r="BQ59" s="167"/>
      <c r="BR59" s="167"/>
      <c r="BS59" s="167"/>
      <c r="BT59" s="167"/>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row>
    <row r="60" spans="1:257" ht="15.6" x14ac:dyDescent="0.3">
      <c r="A60" s="97" t="s">
        <v>234</v>
      </c>
      <c r="B60" s="424" t="s">
        <v>253</v>
      </c>
      <c r="C60" s="425"/>
      <c r="D60" s="425" t="s">
        <v>246</v>
      </c>
      <c r="E60" s="422" t="s">
        <v>244</v>
      </c>
      <c r="H60" s="3" t="s">
        <v>248</v>
      </c>
      <c r="J60" s="92"/>
      <c r="K60" s="426"/>
      <c r="L60" s="426"/>
      <c r="M60" s="92"/>
      <c r="N60" s="66"/>
      <c r="O60" s="67"/>
      <c r="P60" s="68"/>
      <c r="Q60" s="95"/>
      <c r="R60" s="70"/>
      <c r="S60" s="167"/>
      <c r="T60" s="167"/>
      <c r="U60" s="166"/>
      <c r="V60" s="166"/>
      <c r="W60" s="166"/>
      <c r="X60" s="166"/>
      <c r="Y60" s="166"/>
      <c r="Z60" s="166"/>
      <c r="AA60" s="166"/>
      <c r="AB60" s="166"/>
      <c r="AC60" s="166"/>
      <c r="AD60" s="166"/>
      <c r="AE60" s="675"/>
      <c r="AF60" s="167"/>
      <c r="AG60" s="676"/>
      <c r="AH60" s="167"/>
      <c r="AI60" s="167"/>
      <c r="AJ60" s="167"/>
      <c r="AK60" s="167"/>
      <c r="AL60" s="167"/>
      <c r="AM60" s="167"/>
      <c r="AN60" s="167"/>
      <c r="AO60" s="167"/>
      <c r="AP60" s="167"/>
      <c r="AQ60" s="167"/>
      <c r="AR60" s="167"/>
      <c r="AS60" s="167"/>
      <c r="AT60" s="167"/>
      <c r="AU60" s="167"/>
      <c r="AV60" s="167"/>
      <c r="AW60" s="167"/>
      <c r="AX60" s="167"/>
      <c r="AY60" s="167"/>
      <c r="AZ60" s="167"/>
      <c r="BA60" s="167"/>
      <c r="BB60" s="167"/>
      <c r="BC60" s="167"/>
      <c r="BD60" s="167"/>
      <c r="BE60" s="167"/>
      <c r="BF60" s="167"/>
      <c r="BG60" s="167"/>
      <c r="BH60" s="167"/>
      <c r="BI60" s="167"/>
      <c r="BJ60" s="167"/>
      <c r="BK60" s="167"/>
      <c r="BL60" s="167"/>
      <c r="BM60" s="167"/>
      <c r="BN60" s="167"/>
      <c r="BO60" s="167"/>
      <c r="BP60" s="167"/>
      <c r="BQ60" s="167"/>
      <c r="BR60" s="167"/>
      <c r="BS60" s="167"/>
      <c r="BT60" s="167"/>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row>
    <row r="61" spans="1:257" x14ac:dyDescent="0.3">
      <c r="A61" s="278" t="s">
        <v>250</v>
      </c>
      <c r="B61" s="432"/>
      <c r="C61" s="425"/>
      <c r="D61" s="431"/>
      <c r="E61" s="431"/>
      <c r="F61" s="388" t="s">
        <v>338</v>
      </c>
      <c r="G61" s="450">
        <f>COUNTIF(B61:E61,"&gt;0")</f>
        <v>0</v>
      </c>
      <c r="H61" s="430"/>
      <c r="I61" s="418" t="s">
        <v>96</v>
      </c>
      <c r="J61" s="92"/>
      <c r="K61" s="451">
        <f>H61</f>
        <v>0</v>
      </c>
      <c r="L61" s="452">
        <f>IF(K61=0,0,H61/K61)</f>
        <v>0</v>
      </c>
      <c r="M61" s="92"/>
      <c r="N61" s="551">
        <f>IF(H61="",0,SUM(B61,D61:E61)*IF(G61=1,1,0)/H61)</f>
        <v>0</v>
      </c>
      <c r="O61" s="67" t="s">
        <v>68</v>
      </c>
      <c r="P61" s="68" t="s">
        <v>50</v>
      </c>
      <c r="Q61" s="389">
        <f>(IF($B61&gt;0,'Références Récolte COP'!S13,0)+IF($D61&gt;0,'Références Récolte COP'!U13,0)+IF($E61&gt;0,'Références Récolte COP'!V13,0))*IF($G61=1,1,0)</f>
        <v>0</v>
      </c>
      <c r="R61" s="390" t="s">
        <v>68</v>
      </c>
      <c r="S61" s="167"/>
      <c r="T61" s="680">
        <f>(IF($B61&gt;0,'Références Récolte COP'!O13,0)+IF($D61&gt;0,'Références Récolte COP'!Q13,0)+IF($E61&gt;0,'Références Récolte COP'!R13,0))*IF($G61=1,1,0)</f>
        <v>0</v>
      </c>
      <c r="U61" s="166"/>
      <c r="V61" s="166"/>
      <c r="W61" s="166"/>
      <c r="X61" s="166"/>
      <c r="Y61" s="166"/>
      <c r="Z61" s="166"/>
      <c r="AA61" s="679">
        <f>IF(N61&lt;=Q61,0,1)+IF(N61&lt;=T61,0,1)</f>
        <v>0</v>
      </c>
      <c r="AB61" s="166"/>
      <c r="AC61" s="166"/>
      <c r="AD61" s="166"/>
      <c r="AE61" s="166"/>
      <c r="AF61" s="166"/>
      <c r="AG61" s="676"/>
      <c r="AH61" s="167"/>
      <c r="AI61" s="167"/>
      <c r="AJ61" s="167"/>
      <c r="AK61" s="167"/>
      <c r="AL61" s="167"/>
      <c r="AM61" s="167"/>
      <c r="AN61" s="167"/>
      <c r="AO61" s="167"/>
      <c r="AP61" s="167"/>
      <c r="AQ61" s="167"/>
      <c r="AR61" s="167"/>
      <c r="AS61" s="167"/>
      <c r="AT61" s="167"/>
      <c r="AU61" s="167"/>
      <c r="AV61" s="167"/>
      <c r="AW61" s="167"/>
      <c r="AX61" s="167"/>
      <c r="AY61" s="167"/>
      <c r="AZ61" s="167"/>
      <c r="BA61" s="167"/>
      <c r="BB61" s="167"/>
      <c r="BC61" s="167"/>
      <c r="BD61" s="167"/>
      <c r="BE61" s="167"/>
      <c r="BF61" s="167"/>
      <c r="BG61" s="167"/>
      <c r="BH61" s="167"/>
      <c r="BI61" s="167"/>
      <c r="BJ61" s="167"/>
      <c r="BK61" s="167"/>
      <c r="BL61" s="167"/>
      <c r="BM61" s="167"/>
      <c r="BN61" s="167"/>
      <c r="BO61" s="167"/>
      <c r="BP61" s="167"/>
      <c r="BQ61" s="167"/>
      <c r="BR61" s="167"/>
      <c r="BS61" s="167"/>
      <c r="BT61" s="167"/>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row>
    <row r="62" spans="1:257" ht="15.6" x14ac:dyDescent="0.3">
      <c r="A62" s="64"/>
      <c r="B62" s="94"/>
      <c r="C62" s="92"/>
      <c r="D62" s="92"/>
      <c r="E62" s="92"/>
      <c r="F62" s="92"/>
      <c r="G62" s="92"/>
      <c r="H62" s="92"/>
      <c r="I62" s="92"/>
      <c r="J62" s="92"/>
      <c r="K62" s="92"/>
      <c r="L62" s="92"/>
      <c r="M62" s="92"/>
      <c r="N62" s="66"/>
      <c r="O62" s="67"/>
      <c r="P62" s="68"/>
      <c r="Q62" s="95"/>
      <c r="R62" s="70"/>
      <c r="S62" s="167"/>
      <c r="T62" s="167"/>
      <c r="U62" s="166"/>
      <c r="V62" s="166"/>
      <c r="W62" s="166"/>
      <c r="X62" s="166"/>
      <c r="Y62" s="166"/>
      <c r="Z62" s="166"/>
      <c r="AA62" s="166"/>
      <c r="AB62" s="166"/>
      <c r="AC62" s="166"/>
      <c r="AD62" s="166"/>
      <c r="AE62" s="675"/>
      <c r="AF62" s="167"/>
      <c r="AG62" s="676"/>
      <c r="AH62" s="167"/>
      <c r="AI62" s="167"/>
      <c r="AJ62" s="167"/>
      <c r="AK62" s="167"/>
      <c r="AL62" s="167"/>
      <c r="AM62" s="167"/>
      <c r="AN62" s="167"/>
      <c r="AO62" s="167"/>
      <c r="AP62" s="167"/>
      <c r="AQ62" s="167"/>
      <c r="AR62" s="167"/>
      <c r="AS62" s="167"/>
      <c r="AT62" s="167"/>
      <c r="AU62" s="167"/>
      <c r="AV62" s="167"/>
      <c r="AW62" s="167"/>
      <c r="AX62" s="167"/>
      <c r="AY62" s="167"/>
      <c r="AZ62" s="167"/>
      <c r="BA62" s="167"/>
      <c r="BB62" s="167"/>
      <c r="BC62" s="167"/>
      <c r="BD62" s="167"/>
      <c r="BE62" s="167"/>
      <c r="BF62" s="167"/>
      <c r="BG62" s="167"/>
      <c r="BH62" s="167"/>
      <c r="BI62" s="167"/>
      <c r="BJ62" s="167"/>
      <c r="BK62" s="167"/>
      <c r="BL62" s="167"/>
      <c r="BM62" s="167"/>
      <c r="BN62" s="167"/>
      <c r="BO62" s="167"/>
      <c r="BP62" s="167"/>
      <c r="BQ62" s="167"/>
      <c r="BR62" s="167"/>
      <c r="BS62" s="167"/>
      <c r="BT62" s="167"/>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row>
    <row r="63" spans="1:257" ht="15" customHeight="1" x14ac:dyDescent="0.3">
      <c r="A63" s="64" t="s">
        <v>232</v>
      </c>
      <c r="B63" s="171"/>
      <c r="C63" s="828"/>
      <c r="D63" s="828"/>
      <c r="E63" s="172"/>
      <c r="F63" s="36"/>
      <c r="G63" s="92"/>
      <c r="N63" s="66"/>
      <c r="O63" s="67"/>
      <c r="P63" s="68"/>
      <c r="Q63" s="95"/>
      <c r="R63" s="70"/>
      <c r="S63" s="167"/>
      <c r="T63" s="167"/>
      <c r="U63" s="166"/>
      <c r="V63" s="166"/>
      <c r="W63" s="166"/>
      <c r="X63" s="166"/>
      <c r="Y63" s="166"/>
      <c r="Z63" s="166"/>
      <c r="AA63" s="166"/>
      <c r="AB63" s="166"/>
      <c r="AC63" s="166"/>
      <c r="AD63" s="166"/>
      <c r="AE63" s="166"/>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67"/>
      <c r="BD63" s="167"/>
      <c r="BE63" s="167"/>
      <c r="BF63" s="167"/>
      <c r="BG63" s="167"/>
      <c r="BH63" s="167"/>
      <c r="BI63" s="167"/>
      <c r="BJ63" s="167"/>
      <c r="BK63" s="167"/>
      <c r="BL63" s="167"/>
      <c r="BM63" s="167"/>
      <c r="BN63" s="167"/>
      <c r="BO63" s="167"/>
      <c r="BP63" s="167"/>
      <c r="BQ63" s="167"/>
      <c r="BR63" s="167"/>
      <c r="BS63" s="167"/>
      <c r="BT63" s="167"/>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row>
    <row r="64" spans="1:257" x14ac:dyDescent="0.3">
      <c r="A64" s="302" t="s">
        <v>233</v>
      </c>
      <c r="B64" s="424" t="s">
        <v>195</v>
      </c>
      <c r="C64" s="827" t="s">
        <v>196</v>
      </c>
      <c r="D64" s="827"/>
      <c r="E64" s="422" t="s">
        <v>111</v>
      </c>
      <c r="F64" s="421"/>
      <c r="H64" s="303" t="s">
        <v>197</v>
      </c>
      <c r="L64" s="156"/>
      <c r="N64" s="66"/>
      <c r="O64" s="67"/>
      <c r="P64" s="68"/>
      <c r="Q64" s="95"/>
      <c r="R64" s="70"/>
      <c r="S64" s="167"/>
      <c r="T64" s="167"/>
      <c r="U64" s="166"/>
      <c r="V64" s="166"/>
      <c r="W64" s="166"/>
      <c r="X64" s="166"/>
      <c r="Y64" s="166"/>
      <c r="Z64" s="166"/>
      <c r="AA64" s="166"/>
      <c r="AB64" s="166"/>
      <c r="AC64" s="166"/>
      <c r="AD64" s="166"/>
      <c r="AE64" s="166"/>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67"/>
      <c r="BD64" s="167"/>
      <c r="BE64" s="167"/>
      <c r="BF64" s="167"/>
      <c r="BG64" s="167"/>
      <c r="BH64" s="167"/>
      <c r="BI64" s="167"/>
      <c r="BJ64" s="167"/>
      <c r="BK64" s="167"/>
      <c r="BL64" s="167"/>
      <c r="BM64" s="167"/>
      <c r="BN64" s="167"/>
      <c r="BO64" s="167"/>
      <c r="BP64" s="167"/>
      <c r="BQ64" s="167"/>
      <c r="BR64" s="167"/>
      <c r="BS64" s="167"/>
      <c r="BT64" s="167"/>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row>
    <row r="65" spans="1:257" x14ac:dyDescent="0.3">
      <c r="A65" s="278" t="s">
        <v>192</v>
      </c>
      <c r="B65" s="427"/>
      <c r="C65" s="825"/>
      <c r="D65" s="826"/>
      <c r="E65" s="428"/>
      <c r="H65" s="429"/>
      <c r="I65" s="418" t="s">
        <v>96</v>
      </c>
      <c r="K65" s="451">
        <f>H65+H78</f>
        <v>0</v>
      </c>
      <c r="L65" s="452">
        <f>IF(K65=0,0,H65/K65)</f>
        <v>0</v>
      </c>
      <c r="N65" s="551">
        <f>IF(C65&gt;0,'Références Récolte Herbe'!AA13/H65*E65,0)</f>
        <v>0</v>
      </c>
      <c r="O65" s="67" t="s">
        <v>68</v>
      </c>
      <c r="P65" s="68" t="s">
        <v>50</v>
      </c>
      <c r="Q65" s="389">
        <f>IF(C65&gt;0,'Références Récolte Herbe'!E13,0)</f>
        <v>0</v>
      </c>
      <c r="R65" s="390" t="s">
        <v>68</v>
      </c>
      <c r="S65" s="167"/>
      <c r="T65" s="680">
        <f>IF($C65&gt;0,'Références Récolte Herbe'!D13,0)</f>
        <v>0</v>
      </c>
      <c r="U65" s="681">
        <f>SUM(N65,N66,N67,N68,N69,N70,N71,N72,N73,N74,N78,N79,N80,N81,N82,N83,N84,N85,N86,N87)</f>
        <v>0</v>
      </c>
      <c r="V65" s="166"/>
      <c r="W65" s="166"/>
      <c r="X65" s="682">
        <f>Y65*L65</f>
        <v>0</v>
      </c>
      <c r="Y65" s="166">
        <f>IF(H65&gt;0,1,0)</f>
        <v>0</v>
      </c>
      <c r="Z65" s="682">
        <f>AA65*L65</f>
        <v>0</v>
      </c>
      <c r="AA65" s="166">
        <f t="shared" ref="AA65:AA74" si="1">IF(N65&lt;=Q65,0,1)+IF(N65&lt;=T65,0,1)</f>
        <v>0</v>
      </c>
      <c r="AB65" s="682"/>
      <c r="AC65" s="166"/>
      <c r="AD65" s="166"/>
      <c r="AE65" s="166"/>
      <c r="AF65" s="167"/>
      <c r="AG65" s="167"/>
      <c r="AH65" s="167"/>
      <c r="AI65" s="167"/>
      <c r="AJ65" s="167"/>
      <c r="AK65" s="167"/>
      <c r="AL65" s="167"/>
      <c r="AM65" s="167"/>
      <c r="AN65" s="167"/>
      <c r="AO65" s="167"/>
      <c r="AP65" s="167"/>
      <c r="AQ65" s="167"/>
      <c r="AR65" s="167"/>
      <c r="AS65" s="167"/>
      <c r="AT65" s="167"/>
      <c r="AU65" s="167"/>
      <c r="AV65" s="167"/>
      <c r="AW65" s="167"/>
      <c r="AX65" s="167"/>
      <c r="AY65" s="167"/>
      <c r="AZ65" s="167"/>
      <c r="BA65" s="167"/>
      <c r="BB65" s="167"/>
      <c r="BC65" s="167"/>
      <c r="BD65" s="167"/>
      <c r="BE65" s="167"/>
      <c r="BF65" s="167"/>
      <c r="BG65" s="167"/>
      <c r="BH65" s="167"/>
      <c r="BI65" s="167"/>
      <c r="BJ65" s="167"/>
      <c r="BK65" s="167"/>
      <c r="BL65" s="167"/>
      <c r="BM65" s="167"/>
      <c r="BN65" s="167"/>
      <c r="BO65" s="167"/>
      <c r="BP65" s="167"/>
      <c r="BQ65" s="167"/>
      <c r="BR65" s="167"/>
      <c r="BS65" s="167"/>
      <c r="BT65" s="167"/>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row>
    <row r="66" spans="1:257" x14ac:dyDescent="0.3">
      <c r="A66" s="278" t="s">
        <v>193</v>
      </c>
      <c r="B66" s="427"/>
      <c r="C66" s="825"/>
      <c r="D66" s="826"/>
      <c r="E66" s="428"/>
      <c r="H66" s="429"/>
      <c r="I66" s="418" t="s">
        <v>96</v>
      </c>
      <c r="K66" s="451">
        <f t="shared" ref="K66:K74" si="2">H66+H79</f>
        <v>0</v>
      </c>
      <c r="L66" s="452">
        <f t="shared" ref="L66:L68" si="3">IF(K66=0,0,H66/K66)</f>
        <v>0</v>
      </c>
      <c r="N66" s="551">
        <f>IF(C66&gt;0,'Références Récolte Herbe'!AA14/H66*E66,0)</f>
        <v>0</v>
      </c>
      <c r="O66" s="67" t="s">
        <v>68</v>
      </c>
      <c r="P66" s="68" t="s">
        <v>50</v>
      </c>
      <c r="Q66" s="389">
        <f>IF($C66&gt;0,'Références Récolte Herbe'!E14,0)</f>
        <v>0</v>
      </c>
      <c r="R66" s="390" t="s">
        <v>68</v>
      </c>
      <c r="S66" s="167"/>
      <c r="T66" s="680">
        <f>IF($C66&gt;0,'Références Récolte Herbe'!D14,0)</f>
        <v>0</v>
      </c>
      <c r="U66" s="166"/>
      <c r="V66" s="166"/>
      <c r="W66" s="166"/>
      <c r="X66" s="682">
        <f t="shared" ref="X66:X87" si="4">Y66*L66</f>
        <v>0</v>
      </c>
      <c r="Y66" s="166">
        <f t="shared" ref="Y66:Y87" si="5">IF(H66&gt;0,1,0)</f>
        <v>0</v>
      </c>
      <c r="Z66" s="682">
        <f t="shared" ref="Z66:Z74" si="6">AA66*L66</f>
        <v>0</v>
      </c>
      <c r="AA66" s="166">
        <f t="shared" si="1"/>
        <v>0</v>
      </c>
      <c r="AB66" s="682"/>
      <c r="AC66" s="166"/>
      <c r="AD66" s="166"/>
      <c r="AE66" s="166"/>
      <c r="AF66" s="167"/>
      <c r="AG66" s="167"/>
      <c r="AH66" s="167"/>
      <c r="AI66" s="167"/>
      <c r="AJ66" s="167"/>
      <c r="AK66" s="167"/>
      <c r="AL66" s="167"/>
      <c r="AM66" s="167"/>
      <c r="AN66" s="167"/>
      <c r="AO66" s="167"/>
      <c r="AP66" s="167"/>
      <c r="AQ66" s="167"/>
      <c r="AR66" s="167"/>
      <c r="AS66" s="167"/>
      <c r="AT66" s="167"/>
      <c r="AU66" s="167"/>
      <c r="AV66" s="167"/>
      <c r="AW66" s="167"/>
      <c r="AX66" s="167"/>
      <c r="AY66" s="167"/>
      <c r="AZ66" s="167"/>
      <c r="BA66" s="167"/>
      <c r="BB66" s="167"/>
      <c r="BC66" s="167"/>
      <c r="BD66" s="167"/>
      <c r="BE66" s="167"/>
      <c r="BF66" s="167"/>
      <c r="BG66" s="167"/>
      <c r="BH66" s="167"/>
      <c r="BI66" s="167"/>
      <c r="BJ66" s="167"/>
      <c r="BK66" s="167"/>
      <c r="BL66" s="167"/>
      <c r="BM66" s="167"/>
      <c r="BN66" s="167"/>
      <c r="BO66" s="167"/>
      <c r="BP66" s="167"/>
      <c r="BQ66" s="167"/>
      <c r="BR66" s="167"/>
      <c r="BS66" s="167"/>
      <c r="BT66" s="167"/>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row>
    <row r="67" spans="1:257" x14ac:dyDescent="0.3">
      <c r="A67" s="278" t="s">
        <v>223</v>
      </c>
      <c r="B67" s="427"/>
      <c r="C67" s="825"/>
      <c r="D67" s="826"/>
      <c r="E67" s="428"/>
      <c r="H67" s="429"/>
      <c r="I67" s="418" t="s">
        <v>96</v>
      </c>
      <c r="K67" s="451">
        <f>H67+H80</f>
        <v>0</v>
      </c>
      <c r="L67" s="452">
        <f t="shared" si="3"/>
        <v>0</v>
      </c>
      <c r="N67" s="551">
        <f>IF(C67&gt;0,'Références Récolte Herbe'!AA15/H67*E67,0)</f>
        <v>0</v>
      </c>
      <c r="O67" s="67" t="s">
        <v>68</v>
      </c>
      <c r="P67" s="68" t="s">
        <v>50</v>
      </c>
      <c r="Q67" s="389">
        <f>IF(C67&gt;0,'Références Récolte Herbe'!E15,0)</f>
        <v>0</v>
      </c>
      <c r="R67" s="390" t="s">
        <v>68</v>
      </c>
      <c r="S67" s="167"/>
      <c r="T67" s="680">
        <f>IF($C67&gt;0,'Références Récolte Herbe'!D15,0)</f>
        <v>0</v>
      </c>
      <c r="U67" s="166"/>
      <c r="V67" s="166"/>
      <c r="W67" s="166"/>
      <c r="X67" s="682">
        <f t="shared" si="4"/>
        <v>0</v>
      </c>
      <c r="Y67" s="166">
        <f t="shared" si="5"/>
        <v>0</v>
      </c>
      <c r="Z67" s="682">
        <f t="shared" si="6"/>
        <v>0</v>
      </c>
      <c r="AA67" s="166">
        <f t="shared" si="1"/>
        <v>0</v>
      </c>
      <c r="AB67" s="682"/>
      <c r="AC67" s="166"/>
      <c r="AD67" s="166"/>
      <c r="AE67" s="166"/>
      <c r="AF67" s="167"/>
      <c r="AG67" s="167"/>
      <c r="AH67" s="167"/>
      <c r="AI67" s="167"/>
      <c r="AJ67" s="167"/>
      <c r="AK67" s="167"/>
      <c r="AL67" s="167"/>
      <c r="AM67" s="167"/>
      <c r="AN67" s="167"/>
      <c r="AO67" s="167"/>
      <c r="AP67" s="167"/>
      <c r="AQ67" s="167"/>
      <c r="AR67" s="167"/>
      <c r="AS67" s="167"/>
      <c r="AT67" s="167"/>
      <c r="AU67" s="167"/>
      <c r="AV67" s="167"/>
      <c r="AW67" s="167"/>
      <c r="AX67" s="167"/>
      <c r="AY67" s="167"/>
      <c r="AZ67" s="167"/>
      <c r="BA67" s="167"/>
      <c r="BB67" s="167"/>
      <c r="BC67" s="167"/>
      <c r="BD67" s="167"/>
      <c r="BE67" s="167"/>
      <c r="BF67" s="167"/>
      <c r="BG67" s="167"/>
      <c r="BH67" s="167"/>
      <c r="BI67" s="167"/>
      <c r="BJ67" s="167"/>
      <c r="BK67" s="167"/>
      <c r="BL67" s="167"/>
      <c r="BM67" s="167"/>
      <c r="BN67" s="167"/>
      <c r="BO67" s="167"/>
      <c r="BP67" s="167"/>
      <c r="BQ67" s="167"/>
      <c r="BR67" s="167"/>
      <c r="BS67" s="167"/>
      <c r="BT67" s="167"/>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row>
    <row r="68" spans="1:257" x14ac:dyDescent="0.3">
      <c r="A68" s="278" t="s">
        <v>224</v>
      </c>
      <c r="B68" s="427"/>
      <c r="C68" s="825"/>
      <c r="D68" s="826"/>
      <c r="E68" s="428"/>
      <c r="H68" s="429"/>
      <c r="I68" s="418" t="s">
        <v>96</v>
      </c>
      <c r="K68" s="451">
        <f t="shared" si="2"/>
        <v>0</v>
      </c>
      <c r="L68" s="452">
        <f t="shared" si="3"/>
        <v>0</v>
      </c>
      <c r="N68" s="551">
        <f>IF(C68&gt;0,'Références Récolte Herbe'!AA16/H68*E68,0)</f>
        <v>0</v>
      </c>
      <c r="O68" s="67" t="s">
        <v>68</v>
      </c>
      <c r="P68" s="68" t="s">
        <v>50</v>
      </c>
      <c r="Q68" s="389">
        <f>IF(C68&gt;0,'Références Récolte Herbe'!E16,0)</f>
        <v>0</v>
      </c>
      <c r="R68" s="390" t="s">
        <v>68</v>
      </c>
      <c r="S68" s="167"/>
      <c r="T68" s="680">
        <f>IF($C68&gt;0,'Références Récolte Herbe'!D16,0)</f>
        <v>0</v>
      </c>
      <c r="U68" s="166"/>
      <c r="V68" s="166"/>
      <c r="W68" s="166"/>
      <c r="X68" s="682">
        <f t="shared" si="4"/>
        <v>0</v>
      </c>
      <c r="Y68" s="166">
        <f t="shared" si="5"/>
        <v>0</v>
      </c>
      <c r="Z68" s="682">
        <f t="shared" si="6"/>
        <v>0</v>
      </c>
      <c r="AA68" s="166">
        <f t="shared" si="1"/>
        <v>0</v>
      </c>
      <c r="AB68" s="682"/>
      <c r="AC68" s="166"/>
      <c r="AD68" s="166"/>
      <c r="AE68" s="166"/>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c r="BB68" s="167"/>
      <c r="BC68" s="167"/>
      <c r="BD68" s="167"/>
      <c r="BE68" s="167"/>
      <c r="BF68" s="167"/>
      <c r="BG68" s="167"/>
      <c r="BH68" s="167"/>
      <c r="BI68" s="167"/>
      <c r="BJ68" s="167"/>
      <c r="BK68" s="167"/>
      <c r="BL68" s="167"/>
      <c r="BM68" s="167"/>
      <c r="BN68" s="167"/>
      <c r="BO68" s="167"/>
      <c r="BP68" s="167"/>
      <c r="BQ68" s="167"/>
      <c r="BR68" s="167"/>
      <c r="BS68" s="167"/>
      <c r="BT68" s="167"/>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row>
    <row r="69" spans="1:257" x14ac:dyDescent="0.3">
      <c r="A69" s="278" t="s">
        <v>182</v>
      </c>
      <c r="B69" s="427"/>
      <c r="C69" s="825"/>
      <c r="D69" s="826"/>
      <c r="E69" s="428"/>
      <c r="H69" s="429"/>
      <c r="I69" s="418" t="s">
        <v>227</v>
      </c>
      <c r="K69" s="451">
        <f t="shared" si="2"/>
        <v>0</v>
      </c>
      <c r="L69" s="452">
        <f>IF(K69=0,0,H69/K69)</f>
        <v>0</v>
      </c>
      <c r="N69" s="551">
        <f>IF(C69&gt;0,'Références Récolte Herbe'!AA17/H69*E69,0)</f>
        <v>0</v>
      </c>
      <c r="O69" s="67" t="s">
        <v>228</v>
      </c>
      <c r="P69" s="68" t="s">
        <v>50</v>
      </c>
      <c r="Q69" s="389">
        <f>IF(C69&gt;0,'Références Récolte Herbe'!E17,0)</f>
        <v>0</v>
      </c>
      <c r="R69" s="390" t="s">
        <v>228</v>
      </c>
      <c r="S69" s="167"/>
      <c r="T69" s="680">
        <f>IF($C69&gt;0,'Références Récolte Herbe'!D17,0)</f>
        <v>0</v>
      </c>
      <c r="U69" s="166"/>
      <c r="V69" s="166"/>
      <c r="W69" s="166"/>
      <c r="X69" s="682">
        <f t="shared" si="4"/>
        <v>0</v>
      </c>
      <c r="Y69" s="166">
        <f t="shared" si="5"/>
        <v>0</v>
      </c>
      <c r="Z69" s="682">
        <f t="shared" si="6"/>
        <v>0</v>
      </c>
      <c r="AA69" s="166">
        <f t="shared" si="1"/>
        <v>0</v>
      </c>
      <c r="AB69" s="682"/>
      <c r="AC69" s="166"/>
      <c r="AD69" s="166"/>
      <c r="AE69" s="166"/>
      <c r="AF69" s="167"/>
      <c r="AG69" s="167"/>
      <c r="AH69" s="167"/>
      <c r="AI69" s="167"/>
      <c r="AJ69" s="167"/>
      <c r="AK69" s="167"/>
      <c r="AL69" s="167"/>
      <c r="AM69" s="167"/>
      <c r="AN69" s="167"/>
      <c r="AO69" s="167"/>
      <c r="AP69" s="167"/>
      <c r="AQ69" s="167"/>
      <c r="AR69" s="167"/>
      <c r="AS69" s="167"/>
      <c r="AT69" s="167"/>
      <c r="AU69" s="167"/>
      <c r="AV69" s="167"/>
      <c r="AW69" s="167"/>
      <c r="AX69" s="167"/>
      <c r="AY69" s="167"/>
      <c r="AZ69" s="167"/>
      <c r="BA69" s="167"/>
      <c r="BB69" s="167"/>
      <c r="BC69" s="167"/>
      <c r="BD69" s="167"/>
      <c r="BE69" s="167"/>
      <c r="BF69" s="167"/>
      <c r="BG69" s="167"/>
      <c r="BH69" s="167"/>
      <c r="BI69" s="167"/>
      <c r="BJ69" s="167"/>
      <c r="BK69" s="167"/>
      <c r="BL69" s="167"/>
      <c r="BM69" s="167"/>
      <c r="BN69" s="167"/>
      <c r="BO69" s="167"/>
      <c r="BP69" s="167"/>
      <c r="BQ69" s="167"/>
      <c r="BR69" s="167"/>
      <c r="BS69" s="167"/>
      <c r="BT69" s="167"/>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row>
    <row r="70" spans="1:257" x14ac:dyDescent="0.3">
      <c r="A70" s="278" t="s">
        <v>183</v>
      </c>
      <c r="B70" s="427"/>
      <c r="C70" s="825"/>
      <c r="D70" s="826"/>
      <c r="E70" s="428"/>
      <c r="H70" s="429"/>
      <c r="I70" s="418" t="s">
        <v>227</v>
      </c>
      <c r="K70" s="451">
        <f>H70+H83</f>
        <v>0</v>
      </c>
      <c r="L70" s="452">
        <f t="shared" ref="L70:L74" si="7">IF(K70=0,0,H70/K70)</f>
        <v>0</v>
      </c>
      <c r="N70" s="551">
        <f>IF(C70&gt;0,'Références Récolte Herbe'!AA18/H70*E70,0)</f>
        <v>0</v>
      </c>
      <c r="O70" s="67" t="s">
        <v>228</v>
      </c>
      <c r="P70" s="68" t="s">
        <v>50</v>
      </c>
      <c r="Q70" s="389">
        <f>IF(C70&gt;0,'Références Récolte Herbe'!E18,0)</f>
        <v>0</v>
      </c>
      <c r="R70" s="390" t="s">
        <v>228</v>
      </c>
      <c r="S70" s="167"/>
      <c r="T70" s="680">
        <f>IF($C70&gt;0,'Références Récolte Herbe'!D18,0)</f>
        <v>0</v>
      </c>
      <c r="U70" s="166"/>
      <c r="V70" s="166"/>
      <c r="W70" s="166"/>
      <c r="X70" s="682">
        <f t="shared" si="4"/>
        <v>0</v>
      </c>
      <c r="Y70" s="166">
        <f t="shared" si="5"/>
        <v>0</v>
      </c>
      <c r="Z70" s="682">
        <f t="shared" si="6"/>
        <v>0</v>
      </c>
      <c r="AA70" s="166">
        <f t="shared" si="1"/>
        <v>0</v>
      </c>
      <c r="AB70" s="682"/>
      <c r="AC70" s="166"/>
      <c r="AD70" s="166"/>
      <c r="AE70" s="166"/>
      <c r="AF70" s="167"/>
      <c r="AG70" s="167"/>
      <c r="AH70" s="167"/>
      <c r="AI70" s="167"/>
      <c r="AJ70" s="167"/>
      <c r="AK70" s="167"/>
      <c r="AL70" s="167"/>
      <c r="AM70" s="167"/>
      <c r="AN70" s="167"/>
      <c r="AO70" s="167"/>
      <c r="AP70" s="167"/>
      <c r="AQ70" s="167"/>
      <c r="AR70" s="167"/>
      <c r="AS70" s="167"/>
      <c r="AT70" s="167"/>
      <c r="AU70" s="167"/>
      <c r="AV70" s="167"/>
      <c r="AW70" s="167"/>
      <c r="AX70" s="167"/>
      <c r="AY70" s="167"/>
      <c r="AZ70" s="167"/>
      <c r="BA70" s="167"/>
      <c r="BB70" s="167"/>
      <c r="BC70" s="167"/>
      <c r="BD70" s="167"/>
      <c r="BE70" s="167"/>
      <c r="BF70" s="167"/>
      <c r="BG70" s="167"/>
      <c r="BH70" s="167"/>
      <c r="BI70" s="167"/>
      <c r="BJ70" s="167"/>
      <c r="BK70" s="167"/>
      <c r="BL70" s="167"/>
      <c r="BM70" s="167"/>
      <c r="BN70" s="167"/>
      <c r="BO70" s="167"/>
      <c r="BP70" s="167"/>
      <c r="BQ70" s="167"/>
      <c r="BR70" s="167"/>
      <c r="BS70" s="167"/>
      <c r="BT70" s="167"/>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row>
    <row r="71" spans="1:257" x14ac:dyDescent="0.3">
      <c r="A71" s="278" t="s">
        <v>225</v>
      </c>
      <c r="B71" s="427"/>
      <c r="C71" s="825"/>
      <c r="D71" s="826"/>
      <c r="E71" s="428"/>
      <c r="H71" s="429"/>
      <c r="I71" s="418" t="s">
        <v>227</v>
      </c>
      <c r="K71" s="451">
        <f t="shared" si="2"/>
        <v>0</v>
      </c>
      <c r="L71" s="452">
        <f t="shared" si="7"/>
        <v>0</v>
      </c>
      <c r="N71" s="551">
        <f>IF(C71&gt;0,'Références Récolte Herbe'!AA19/H71*E71,0)</f>
        <v>0</v>
      </c>
      <c r="O71" s="67" t="s">
        <v>228</v>
      </c>
      <c r="P71" s="68" t="s">
        <v>50</v>
      </c>
      <c r="Q71" s="389">
        <f>IF(C71&gt;0,'Références Récolte Herbe'!E19,0)</f>
        <v>0</v>
      </c>
      <c r="R71" s="390" t="s">
        <v>228</v>
      </c>
      <c r="S71" s="167"/>
      <c r="T71" s="680">
        <f>IF($C71&gt;0,'Références Récolte Herbe'!D19,0)</f>
        <v>0</v>
      </c>
      <c r="U71" s="166"/>
      <c r="V71" s="166"/>
      <c r="W71" s="166"/>
      <c r="X71" s="682">
        <f t="shared" si="4"/>
        <v>0</v>
      </c>
      <c r="Y71" s="166">
        <f t="shared" si="5"/>
        <v>0</v>
      </c>
      <c r="Z71" s="682">
        <f t="shared" si="6"/>
        <v>0</v>
      </c>
      <c r="AA71" s="166">
        <f t="shared" si="1"/>
        <v>0</v>
      </c>
      <c r="AB71" s="682"/>
      <c r="AC71" s="166"/>
      <c r="AD71" s="166"/>
      <c r="AE71" s="166"/>
      <c r="AF71" s="167"/>
      <c r="AG71" s="167"/>
      <c r="AH71" s="167"/>
      <c r="AI71" s="167"/>
      <c r="AJ71" s="167"/>
      <c r="AK71" s="167"/>
      <c r="AL71" s="167"/>
      <c r="AM71" s="167"/>
      <c r="AN71" s="167"/>
      <c r="AO71" s="167"/>
      <c r="AP71" s="167"/>
      <c r="AQ71" s="167"/>
      <c r="AR71" s="167"/>
      <c r="AS71" s="167"/>
      <c r="AT71" s="167"/>
      <c r="AU71" s="167"/>
      <c r="AV71" s="167"/>
      <c r="AW71" s="167"/>
      <c r="AX71" s="167"/>
      <c r="AY71" s="167"/>
      <c r="AZ71" s="167"/>
      <c r="BA71" s="167"/>
      <c r="BB71" s="167"/>
      <c r="BC71" s="167"/>
      <c r="BD71" s="167"/>
      <c r="BE71" s="167"/>
      <c r="BF71" s="167"/>
      <c r="BG71" s="167"/>
      <c r="BH71" s="167"/>
      <c r="BI71" s="167"/>
      <c r="BJ71" s="167"/>
      <c r="BK71" s="167"/>
      <c r="BL71" s="167"/>
      <c r="BM71" s="167"/>
      <c r="BN71" s="167"/>
      <c r="BO71" s="167"/>
      <c r="BP71" s="167"/>
      <c r="BQ71" s="167"/>
      <c r="BR71" s="167"/>
      <c r="BS71" s="167"/>
      <c r="BT71" s="167"/>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row>
    <row r="72" spans="1:257" x14ac:dyDescent="0.3">
      <c r="A72" s="278" t="s">
        <v>226</v>
      </c>
      <c r="B72" s="427"/>
      <c r="C72" s="825"/>
      <c r="D72" s="826"/>
      <c r="E72" s="428"/>
      <c r="H72" s="429"/>
      <c r="I72" s="418" t="s">
        <v>227</v>
      </c>
      <c r="K72" s="451">
        <f t="shared" si="2"/>
        <v>0</v>
      </c>
      <c r="L72" s="452">
        <f t="shared" si="7"/>
        <v>0</v>
      </c>
      <c r="N72" s="551">
        <f>IF(C72&gt;0,'Références Récolte Herbe'!AA20/H72*E72,0)</f>
        <v>0</v>
      </c>
      <c r="O72" s="67" t="s">
        <v>228</v>
      </c>
      <c r="P72" s="68" t="s">
        <v>50</v>
      </c>
      <c r="Q72" s="389">
        <f>IF(C72&gt;0,'Références Récolte Herbe'!E20,0)</f>
        <v>0</v>
      </c>
      <c r="R72" s="390" t="s">
        <v>228</v>
      </c>
      <c r="S72" s="167"/>
      <c r="T72" s="680">
        <f>IF($C72&gt;0,'Références Récolte Herbe'!D20,0)</f>
        <v>0</v>
      </c>
      <c r="U72" s="166"/>
      <c r="V72" s="166"/>
      <c r="W72" s="166"/>
      <c r="X72" s="682">
        <f t="shared" si="4"/>
        <v>0</v>
      </c>
      <c r="Y72" s="166">
        <f t="shared" si="5"/>
        <v>0</v>
      </c>
      <c r="Z72" s="682">
        <f t="shared" si="6"/>
        <v>0</v>
      </c>
      <c r="AA72" s="166">
        <f t="shared" si="1"/>
        <v>0</v>
      </c>
      <c r="AB72" s="682"/>
      <c r="AC72" s="166"/>
      <c r="AD72" s="166"/>
      <c r="AE72" s="166"/>
      <c r="AF72" s="167"/>
      <c r="AG72" s="167"/>
      <c r="AH72" s="167"/>
      <c r="AI72" s="167"/>
      <c r="AJ72" s="167"/>
      <c r="AK72" s="167"/>
      <c r="AL72" s="167"/>
      <c r="AM72" s="167"/>
      <c r="AN72" s="167"/>
      <c r="AO72" s="167"/>
      <c r="AP72" s="167"/>
      <c r="AQ72" s="167"/>
      <c r="AR72" s="167"/>
      <c r="AS72" s="167"/>
      <c r="AT72" s="167"/>
      <c r="AU72" s="167"/>
      <c r="AV72" s="167"/>
      <c r="AW72" s="167"/>
      <c r="AX72" s="167"/>
      <c r="AY72" s="167"/>
      <c r="AZ72" s="167"/>
      <c r="BA72" s="167"/>
      <c r="BB72" s="167"/>
      <c r="BC72" s="167"/>
      <c r="BD72" s="167"/>
      <c r="BE72" s="167"/>
      <c r="BF72" s="167"/>
      <c r="BG72" s="167"/>
      <c r="BH72" s="167"/>
      <c r="BI72" s="167"/>
      <c r="BJ72" s="167"/>
      <c r="BK72" s="167"/>
      <c r="BL72" s="167"/>
      <c r="BM72" s="167"/>
      <c r="BN72" s="167"/>
      <c r="BO72" s="167"/>
      <c r="BP72" s="167"/>
      <c r="BQ72" s="167"/>
      <c r="BR72" s="167"/>
      <c r="BS72" s="167"/>
      <c r="BT72" s="167"/>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row>
    <row r="73" spans="1:257" x14ac:dyDescent="0.3">
      <c r="A73" s="278" t="s">
        <v>190</v>
      </c>
      <c r="B73" s="427"/>
      <c r="C73" s="825"/>
      <c r="D73" s="826"/>
      <c r="E73" s="428"/>
      <c r="H73" s="429"/>
      <c r="I73" s="418" t="s">
        <v>96</v>
      </c>
      <c r="K73" s="451">
        <f t="shared" si="2"/>
        <v>0</v>
      </c>
      <c r="L73" s="452">
        <f t="shared" si="7"/>
        <v>0</v>
      </c>
      <c r="N73" s="551">
        <f>IF(C73&gt;0,'Références Récolte Herbe'!AA21/H73*E73,0)</f>
        <v>0</v>
      </c>
      <c r="O73" s="67" t="s">
        <v>68</v>
      </c>
      <c r="P73" s="68" t="s">
        <v>50</v>
      </c>
      <c r="Q73" s="389">
        <f>IF(C73&gt;0,'Références Récolte Herbe'!E21,0)</f>
        <v>0</v>
      </c>
      <c r="R73" s="390" t="s">
        <v>68</v>
      </c>
      <c r="S73" s="167"/>
      <c r="T73" s="680">
        <f>IF($C73&gt;0,'Références Récolte Herbe'!D21,0)</f>
        <v>0</v>
      </c>
      <c r="U73" s="166"/>
      <c r="V73" s="166"/>
      <c r="W73" s="166"/>
      <c r="X73" s="682">
        <f t="shared" si="4"/>
        <v>0</v>
      </c>
      <c r="Y73" s="166">
        <f t="shared" si="5"/>
        <v>0</v>
      </c>
      <c r="Z73" s="682">
        <f t="shared" si="6"/>
        <v>0</v>
      </c>
      <c r="AA73" s="166">
        <f t="shared" si="1"/>
        <v>0</v>
      </c>
      <c r="AB73" s="682"/>
      <c r="AC73" s="166"/>
      <c r="AD73" s="166"/>
      <c r="AE73" s="166"/>
      <c r="AF73" s="167"/>
      <c r="AG73" s="167"/>
      <c r="AH73" s="167"/>
      <c r="AI73" s="167"/>
      <c r="AJ73" s="167"/>
      <c r="AK73" s="167"/>
      <c r="AL73" s="167"/>
      <c r="AM73" s="167"/>
      <c r="AN73" s="167"/>
      <c r="AO73" s="167"/>
      <c r="AP73" s="167"/>
      <c r="AQ73" s="167"/>
      <c r="AR73" s="167"/>
      <c r="AS73" s="167"/>
      <c r="AT73" s="167"/>
      <c r="AU73" s="167"/>
      <c r="AV73" s="167"/>
      <c r="AW73" s="167"/>
      <c r="AX73" s="167"/>
      <c r="AY73" s="167"/>
      <c r="AZ73" s="167"/>
      <c r="BA73" s="167"/>
      <c r="BB73" s="167"/>
      <c r="BC73" s="167"/>
      <c r="BD73" s="167"/>
      <c r="BE73" s="167"/>
      <c r="BF73" s="167"/>
      <c r="BG73" s="167"/>
      <c r="BH73" s="167"/>
      <c r="BI73" s="167"/>
      <c r="BJ73" s="167"/>
      <c r="BK73" s="167"/>
      <c r="BL73" s="167"/>
      <c r="BM73" s="167"/>
      <c r="BN73" s="167"/>
      <c r="BO73" s="167"/>
      <c r="BP73" s="167"/>
      <c r="BQ73" s="167"/>
      <c r="BR73" s="167"/>
      <c r="BS73" s="167"/>
      <c r="BT73" s="167"/>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row>
    <row r="74" spans="1:257" x14ac:dyDescent="0.3">
      <c r="A74" s="278" t="s">
        <v>191</v>
      </c>
      <c r="B74" s="427"/>
      <c r="C74" s="825"/>
      <c r="D74" s="826"/>
      <c r="E74" s="428"/>
      <c r="H74" s="429"/>
      <c r="I74" s="418" t="s">
        <v>96</v>
      </c>
      <c r="K74" s="451">
        <f t="shared" si="2"/>
        <v>0</v>
      </c>
      <c r="L74" s="452">
        <f t="shared" si="7"/>
        <v>0</v>
      </c>
      <c r="N74" s="551">
        <f>IF(C74&gt;0,'Références Récolte Herbe'!AA22/H74*E74,0)</f>
        <v>0</v>
      </c>
      <c r="O74" s="67" t="s">
        <v>68</v>
      </c>
      <c r="P74" s="68" t="s">
        <v>50</v>
      </c>
      <c r="Q74" s="389">
        <f>IF(C74&gt;0,'Références Récolte Herbe'!E22,0)</f>
        <v>0</v>
      </c>
      <c r="R74" s="390" t="s">
        <v>68</v>
      </c>
      <c r="S74" s="167"/>
      <c r="T74" s="680">
        <f>IF($C74&gt;0,'Références Récolte Herbe'!D22,0)</f>
        <v>0</v>
      </c>
      <c r="U74" s="166"/>
      <c r="V74" s="166"/>
      <c r="W74" s="166"/>
      <c r="X74" s="682">
        <f t="shared" si="4"/>
        <v>0</v>
      </c>
      <c r="Y74" s="166">
        <f t="shared" si="5"/>
        <v>0</v>
      </c>
      <c r="Z74" s="682">
        <f t="shared" si="6"/>
        <v>0</v>
      </c>
      <c r="AA74" s="166">
        <f t="shared" si="1"/>
        <v>0</v>
      </c>
      <c r="AB74" s="682"/>
      <c r="AC74" s="166"/>
      <c r="AD74" s="166"/>
      <c r="AE74" s="166"/>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167"/>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row>
    <row r="75" spans="1:257" x14ac:dyDescent="0.3">
      <c r="A75" s="301"/>
      <c r="B75" s="26"/>
      <c r="C75" s="92"/>
      <c r="D75" s="92"/>
      <c r="E75" s="92"/>
      <c r="F75" s="92"/>
      <c r="G75" s="92"/>
      <c r="H75" s="417"/>
      <c r="I75" s="92"/>
      <c r="J75" s="92"/>
      <c r="K75" s="426"/>
      <c r="L75" s="426"/>
      <c r="M75" s="92"/>
      <c r="N75" s="66"/>
      <c r="O75" s="67"/>
      <c r="P75" s="68"/>
      <c r="Q75" s="95"/>
      <c r="R75" s="70"/>
      <c r="S75" s="167"/>
      <c r="T75" s="167"/>
      <c r="U75" s="166"/>
      <c r="V75" s="166"/>
      <c r="W75" s="166"/>
      <c r="X75" s="682"/>
      <c r="Y75" s="166"/>
      <c r="Z75" s="683">
        <f>SUM(Z65:Z74)</f>
        <v>0</v>
      </c>
      <c r="AA75" s="166"/>
      <c r="AB75" s="683"/>
      <c r="AC75" s="166"/>
      <c r="AD75" s="166"/>
      <c r="AE75" s="166"/>
      <c r="AF75" s="167"/>
      <c r="AG75" s="167"/>
      <c r="AH75" s="167"/>
      <c r="AI75" s="167"/>
      <c r="AJ75" s="167"/>
      <c r="AK75" s="167"/>
      <c r="AL75" s="167"/>
      <c r="AM75" s="167"/>
      <c r="AN75" s="167"/>
      <c r="AO75" s="167"/>
      <c r="AP75" s="167"/>
      <c r="AQ75" s="167"/>
      <c r="AR75" s="167"/>
      <c r="AS75" s="167"/>
      <c r="AT75" s="167"/>
      <c r="AU75" s="167"/>
      <c r="AV75" s="167"/>
      <c r="AW75" s="167"/>
      <c r="AX75" s="167"/>
      <c r="AY75" s="167"/>
      <c r="AZ75" s="167"/>
      <c r="BA75" s="167"/>
      <c r="BB75" s="167"/>
      <c r="BC75" s="167"/>
      <c r="BD75" s="167"/>
      <c r="BE75" s="167"/>
      <c r="BF75" s="167"/>
      <c r="BG75" s="167"/>
      <c r="BH75" s="167"/>
      <c r="BI75" s="167"/>
      <c r="BJ75" s="167"/>
      <c r="BK75" s="167"/>
      <c r="BL75" s="167"/>
      <c r="BM75" s="167"/>
      <c r="BN75" s="167"/>
      <c r="BO75" s="167"/>
      <c r="BP75" s="167"/>
      <c r="BQ75" s="167"/>
      <c r="BR75" s="167"/>
      <c r="BS75" s="167"/>
      <c r="BT75" s="167"/>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row>
    <row r="76" spans="1:257" ht="15.6" x14ac:dyDescent="0.3">
      <c r="A76" s="301"/>
      <c r="B76" s="278" t="s">
        <v>339</v>
      </c>
      <c r="C76" s="423"/>
      <c r="D76" s="423"/>
      <c r="E76" s="423"/>
      <c r="F76" s="92"/>
      <c r="G76" s="92"/>
      <c r="H76" s="417"/>
      <c r="I76" s="92"/>
      <c r="J76" s="92"/>
      <c r="K76" s="426"/>
      <c r="L76" s="426"/>
      <c r="M76" s="92"/>
      <c r="N76" s="66"/>
      <c r="O76" s="67"/>
      <c r="P76" s="68"/>
      <c r="Q76" s="95"/>
      <c r="R76" s="70"/>
      <c r="S76" s="167"/>
      <c r="T76" s="167"/>
      <c r="U76" s="166"/>
      <c r="V76" s="166"/>
      <c r="W76" s="166"/>
      <c r="X76" s="682"/>
      <c r="Y76" s="166"/>
      <c r="Z76" s="166"/>
      <c r="AA76" s="166"/>
      <c r="AB76" s="166"/>
      <c r="AC76" s="682">
        <f>IF(X88=0,0,AA88/X88)</f>
        <v>0</v>
      </c>
      <c r="AD76" s="166">
        <f>IF(AC76&gt;1.5,1,0)+IF(AC76&gt;0.5,1,0)</f>
        <v>0</v>
      </c>
      <c r="AE76" s="675">
        <f>(IF(AD76=1,AD76+1,0)+IF(AD76=2,AD76+3,0))*IF(U57=0,2,1)</f>
        <v>0</v>
      </c>
      <c r="AF76" s="167"/>
      <c r="AG76" s="676" t="str">
        <f>A63</f>
        <v>Module Récolte de l'herbe</v>
      </c>
      <c r="AH76" s="167"/>
      <c r="AI76" s="167"/>
      <c r="AJ76" s="167"/>
      <c r="AK76" s="167">
        <v>0</v>
      </c>
      <c r="AL76" s="167">
        <v>1</v>
      </c>
      <c r="AM76" s="167">
        <v>2</v>
      </c>
      <c r="AN76" s="167"/>
      <c r="AO76" s="167">
        <v>0</v>
      </c>
      <c r="AP76" s="167">
        <v>2</v>
      </c>
      <c r="AQ76" s="167">
        <v>5</v>
      </c>
      <c r="AR76" s="167"/>
      <c r="AS76" s="167"/>
      <c r="AT76" s="167"/>
      <c r="AU76" s="167">
        <v>2</v>
      </c>
      <c r="AV76" s="167">
        <v>1</v>
      </c>
      <c r="AW76" s="167"/>
      <c r="AX76" s="676">
        <v>5</v>
      </c>
      <c r="AY76" s="167">
        <v>2</v>
      </c>
      <c r="AZ76" s="167"/>
      <c r="BA76" s="167">
        <v>2</v>
      </c>
      <c r="BB76" s="167">
        <v>1</v>
      </c>
      <c r="BC76" s="167"/>
      <c r="BD76" s="167"/>
      <c r="BE76" s="167"/>
      <c r="BF76" s="167"/>
      <c r="BG76" s="167"/>
      <c r="BH76" s="167"/>
      <c r="BI76" s="167"/>
      <c r="BJ76" s="167"/>
      <c r="BK76" s="167"/>
      <c r="BL76" s="167"/>
      <c r="BM76" s="167"/>
      <c r="BN76" s="167"/>
      <c r="BO76" s="167"/>
      <c r="BP76" s="167"/>
      <c r="BQ76" s="167"/>
      <c r="BR76" s="167"/>
      <c r="BS76" s="167"/>
      <c r="BT76" s="167"/>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row>
    <row r="77" spans="1:257" x14ac:dyDescent="0.3">
      <c r="A77" s="97" t="s">
        <v>234</v>
      </c>
      <c r="B77" s="424" t="s">
        <v>243</v>
      </c>
      <c r="C77" s="425" t="s">
        <v>245</v>
      </c>
      <c r="D77" s="425" t="s">
        <v>246</v>
      </c>
      <c r="E77" s="422" t="s">
        <v>244</v>
      </c>
      <c r="H77" s="3" t="s">
        <v>248</v>
      </c>
      <c r="J77" s="92"/>
      <c r="K77" s="426"/>
      <c r="L77" s="426"/>
      <c r="M77" s="92"/>
      <c r="N77" s="66"/>
      <c r="O77" s="67"/>
      <c r="P77" s="68"/>
      <c r="Q77" s="95"/>
      <c r="R77" s="70"/>
      <c r="S77" s="167"/>
      <c r="T77" s="167"/>
      <c r="U77" s="166"/>
      <c r="V77" s="166"/>
      <c r="W77" s="166"/>
      <c r="X77" s="682"/>
      <c r="Y77" s="166"/>
      <c r="Z77" s="166"/>
      <c r="AA77" s="166"/>
      <c r="AB77" s="166"/>
      <c r="AC77" s="166"/>
      <c r="AD77" s="166"/>
      <c r="AE77" s="166"/>
      <c r="AF77" s="167"/>
      <c r="AG77" s="167"/>
      <c r="AH77" s="167"/>
      <c r="AI77" s="167"/>
      <c r="AJ77" s="167"/>
      <c r="AK77" s="167"/>
      <c r="AL77" s="167"/>
      <c r="AM77" s="167"/>
      <c r="AN77" s="167"/>
      <c r="AO77" s="167"/>
      <c r="AP77" s="167"/>
      <c r="AQ77" s="167"/>
      <c r="AR77" s="167"/>
      <c r="AS77" s="167"/>
      <c r="AT77" s="167"/>
      <c r="AU77" s="167"/>
      <c r="AV77" s="167"/>
      <c r="AW77" s="167"/>
      <c r="AX77" s="167"/>
      <c r="AY77" s="167"/>
      <c r="AZ77" s="167"/>
      <c r="BA77" s="167"/>
      <c r="BB77" s="167"/>
      <c r="BC77" s="167"/>
      <c r="BD77" s="167"/>
      <c r="BE77" s="167"/>
      <c r="BF77" s="167"/>
      <c r="BG77" s="167"/>
      <c r="BH77" s="167"/>
      <c r="BI77" s="167"/>
      <c r="BJ77" s="167"/>
      <c r="BK77" s="167"/>
      <c r="BL77" s="167"/>
      <c r="BM77" s="167"/>
      <c r="BN77" s="167"/>
      <c r="BO77" s="167"/>
      <c r="BP77" s="167"/>
      <c r="BQ77" s="167"/>
      <c r="BR77" s="167"/>
      <c r="BS77" s="167"/>
      <c r="BT77" s="167"/>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row>
    <row r="78" spans="1:257" x14ac:dyDescent="0.3">
      <c r="A78" s="278" t="s">
        <v>236</v>
      </c>
      <c r="B78" s="432"/>
      <c r="C78" s="431"/>
      <c r="D78" s="431"/>
      <c r="E78" s="431"/>
      <c r="F78" s="388" t="s">
        <v>338</v>
      </c>
      <c r="G78" s="450">
        <f>COUNTIF(B78:E78,"&gt;0")</f>
        <v>0</v>
      </c>
      <c r="H78" s="430"/>
      <c r="I78" s="418" t="s">
        <v>96</v>
      </c>
      <c r="J78" s="92"/>
      <c r="K78" s="451">
        <f>H78+H65</f>
        <v>0</v>
      </c>
      <c r="L78" s="452">
        <f>IF(K78=0,0,H78/K78)</f>
        <v>0</v>
      </c>
      <c r="M78" s="92"/>
      <c r="N78" s="551">
        <f>IF(H78="",0,SUM(B78:E78)*IF(G78=1,1,0)/H78)</f>
        <v>0</v>
      </c>
      <c r="O78" s="67" t="s">
        <v>68</v>
      </c>
      <c r="P78" s="68" t="s">
        <v>50</v>
      </c>
      <c r="Q78" s="389">
        <f>(IF($B78&gt;0,'Références Récolte Herbe'!S13,0)+IF($C78&gt;0,'Références Récolte Herbe'!T13,0)+IF($D78&gt;0,'Références Récolte Herbe'!U13,0)+IF($E78&gt;0,'Références Récolte Herbe'!V13,0))*IF($G78=1,1,0)</f>
        <v>0</v>
      </c>
      <c r="R78" s="390" t="s">
        <v>68</v>
      </c>
      <c r="S78" s="167"/>
      <c r="T78" s="680">
        <f>(IF($B78&gt;0,'Références Récolte Herbe'!O13,0)+IF($C78&gt;0,'Références Récolte Herbe'!P13,0)+IF($D78&gt;0,'Références Récolte Herbe'!Q13,0)+IF($E78&gt;0,'Références Récolte Herbe'!R13,0))*IF($G78=1,1,0)</f>
        <v>0</v>
      </c>
      <c r="U78" s="166"/>
      <c r="V78" s="166"/>
      <c r="W78" s="166"/>
      <c r="X78" s="682">
        <f>Y78*L78</f>
        <v>0</v>
      </c>
      <c r="Y78" s="166">
        <f t="shared" si="5"/>
        <v>0</v>
      </c>
      <c r="Z78" s="682">
        <f>AA78*L78</f>
        <v>0</v>
      </c>
      <c r="AA78" s="166">
        <f t="shared" ref="AA78:AA87" si="8">IF(N78&lt;=Q78,0,1)+IF(N78&lt;=T78,0,1)</f>
        <v>0</v>
      </c>
      <c r="AB78" s="166"/>
      <c r="AC78" s="166"/>
      <c r="AD78" s="166"/>
      <c r="AE78" s="166"/>
      <c r="AF78" s="167"/>
      <c r="AG78" s="167"/>
      <c r="AH78" s="167"/>
      <c r="AI78" s="167"/>
      <c r="AJ78" s="167"/>
      <c r="AK78" s="167"/>
      <c r="AL78" s="167"/>
      <c r="AM78" s="167"/>
      <c r="AN78" s="167"/>
      <c r="AO78" s="167"/>
      <c r="AP78" s="167"/>
      <c r="AQ78" s="167"/>
      <c r="AR78" s="167"/>
      <c r="AS78" s="167"/>
      <c r="AT78" s="167"/>
      <c r="AU78" s="167"/>
      <c r="AV78" s="167"/>
      <c r="AW78" s="167"/>
      <c r="AX78" s="167"/>
      <c r="AY78" s="167"/>
      <c r="AZ78" s="167"/>
      <c r="BA78" s="167"/>
      <c r="BB78" s="167"/>
      <c r="BC78" s="167"/>
      <c r="BD78" s="167"/>
      <c r="BE78" s="167"/>
      <c r="BF78" s="167"/>
      <c r="BG78" s="167"/>
      <c r="BH78" s="167"/>
      <c r="BI78" s="167"/>
      <c r="BJ78" s="167"/>
      <c r="BK78" s="167"/>
      <c r="BL78" s="167"/>
      <c r="BM78" s="167"/>
      <c r="BN78" s="167"/>
      <c r="BO78" s="167"/>
      <c r="BP78" s="167"/>
      <c r="BQ78" s="167"/>
      <c r="BR78" s="167"/>
      <c r="BS78" s="167"/>
      <c r="BT78" s="167"/>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row>
    <row r="79" spans="1:257" x14ac:dyDescent="0.3">
      <c r="A79" s="278" t="s">
        <v>237</v>
      </c>
      <c r="B79" s="432"/>
      <c r="C79" s="431"/>
      <c r="D79" s="431"/>
      <c r="E79" s="431"/>
      <c r="F79" s="388" t="s">
        <v>338</v>
      </c>
      <c r="G79" s="450">
        <f t="shared" ref="G79:G87" si="9">COUNTIF(B79:E79,"&gt;0")</f>
        <v>0</v>
      </c>
      <c r="H79" s="430"/>
      <c r="I79" s="418" t="s">
        <v>96</v>
      </c>
      <c r="J79" s="92"/>
      <c r="K79" s="451">
        <f t="shared" ref="K79:K87" si="10">H79+H66</f>
        <v>0</v>
      </c>
      <c r="L79" s="452">
        <f t="shared" ref="L79:L87" si="11">IF(K79=0,0,H79/K79)</f>
        <v>0</v>
      </c>
      <c r="M79" s="92"/>
      <c r="N79" s="551">
        <f t="shared" ref="N79:N87" si="12">IF(H79="",0,SUM(B79:E79)*IF(G79=1,1,0)/H79)</f>
        <v>0</v>
      </c>
      <c r="O79" s="67" t="s">
        <v>68</v>
      </c>
      <c r="P79" s="68" t="s">
        <v>50</v>
      </c>
      <c r="Q79" s="389">
        <f>(IF(B79&gt;0,'Références Récolte Herbe'!S14,0)+IF(C79&gt;0,'Références Récolte Herbe'!T14,0)+IF(D79&gt;0,'Références Récolte Herbe'!U14,0)+IF(E79&gt;0,'Références Récolte Herbe'!V14,0))*IF(G79=1,1,0)</f>
        <v>0</v>
      </c>
      <c r="R79" s="390" t="s">
        <v>68</v>
      </c>
      <c r="S79" s="167"/>
      <c r="T79" s="680">
        <f>(IF($B79&gt;0,'Références Récolte Herbe'!O14,0)+IF($C79&gt;0,'Références Récolte Herbe'!P14,0)+IF($D79&gt;0,'Références Récolte Herbe'!Q14,0)+IF($E79&gt;0,'Références Récolte Herbe'!R14,0))*IF($G79=1,1,0)</f>
        <v>0</v>
      </c>
      <c r="U79" s="166"/>
      <c r="V79" s="166"/>
      <c r="W79" s="166"/>
      <c r="X79" s="682">
        <f t="shared" si="4"/>
        <v>0</v>
      </c>
      <c r="Y79" s="166">
        <f t="shared" si="5"/>
        <v>0</v>
      </c>
      <c r="Z79" s="682">
        <f t="shared" ref="Z79:Z87" si="13">AA79*L79</f>
        <v>0</v>
      </c>
      <c r="AA79" s="166">
        <f t="shared" si="8"/>
        <v>0</v>
      </c>
      <c r="AB79" s="166"/>
      <c r="AC79" s="166"/>
      <c r="AD79" s="166"/>
      <c r="AE79" s="166"/>
      <c r="AF79" s="167"/>
      <c r="AG79" s="167"/>
      <c r="AH79" s="167"/>
      <c r="AI79" s="167"/>
      <c r="AJ79" s="167"/>
      <c r="AK79" s="167"/>
      <c r="AL79" s="167"/>
      <c r="AM79" s="167"/>
      <c r="AN79" s="167"/>
      <c r="AO79" s="167"/>
      <c r="AP79" s="167"/>
      <c r="AQ79" s="167"/>
      <c r="AR79" s="167"/>
      <c r="AS79" s="167"/>
      <c r="AT79" s="167"/>
      <c r="AU79" s="167"/>
      <c r="AV79" s="167"/>
      <c r="AW79" s="167"/>
      <c r="AX79" s="167"/>
      <c r="AY79" s="167"/>
      <c r="AZ79" s="167"/>
      <c r="BA79" s="167"/>
      <c r="BB79" s="167"/>
      <c r="BC79" s="167"/>
      <c r="BD79" s="167"/>
      <c r="BE79" s="167"/>
      <c r="BF79" s="167"/>
      <c r="BG79" s="167"/>
      <c r="BH79" s="167"/>
      <c r="BI79" s="167"/>
      <c r="BJ79" s="167"/>
      <c r="BK79" s="167"/>
      <c r="BL79" s="167"/>
      <c r="BM79" s="167"/>
      <c r="BN79" s="167"/>
      <c r="BO79" s="167"/>
      <c r="BP79" s="167"/>
      <c r="BQ79" s="167"/>
      <c r="BR79" s="167"/>
      <c r="BS79" s="167"/>
      <c r="BT79" s="167"/>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row>
    <row r="80" spans="1:257" x14ac:dyDescent="0.3">
      <c r="A80" s="278" t="s">
        <v>186</v>
      </c>
      <c r="B80" s="432"/>
      <c r="C80" s="431"/>
      <c r="D80" s="431"/>
      <c r="E80" s="431"/>
      <c r="F80" s="388" t="s">
        <v>338</v>
      </c>
      <c r="G80" s="450">
        <f t="shared" si="9"/>
        <v>0</v>
      </c>
      <c r="H80" s="430"/>
      <c r="I80" s="418" t="s">
        <v>96</v>
      </c>
      <c r="J80" s="92"/>
      <c r="K80" s="451">
        <f t="shared" si="10"/>
        <v>0</v>
      </c>
      <c r="L80" s="452">
        <f t="shared" si="11"/>
        <v>0</v>
      </c>
      <c r="M80" s="92"/>
      <c r="N80" s="551">
        <f t="shared" si="12"/>
        <v>0</v>
      </c>
      <c r="O80" s="67" t="s">
        <v>68</v>
      </c>
      <c r="P80" s="68" t="s">
        <v>50</v>
      </c>
      <c r="Q80" s="389">
        <f>(IF(B80&gt;0,'Références Récolte Herbe'!S15,0)+IF(C80&gt;0,'Références Récolte Herbe'!T15,0)+IF(D80&gt;0,'Références Récolte Herbe'!U15,0)+IF(E80&gt;0,'Références Récolte Herbe'!V15,0))*IF(G80=1,1,0)</f>
        <v>0</v>
      </c>
      <c r="R80" s="390" t="s">
        <v>68</v>
      </c>
      <c r="S80" s="167"/>
      <c r="T80" s="680">
        <f>(IF($B80&gt;0,'Références Récolte Herbe'!O15,0)+IF($C80&gt;0,'Références Récolte Herbe'!P15,0)+IF($D80&gt;0,'Références Récolte Herbe'!Q15,0)+IF($E80&gt;0,'Références Récolte Herbe'!R15,0))*IF($G80=1,1,0)</f>
        <v>0</v>
      </c>
      <c r="U80" s="166"/>
      <c r="V80" s="166"/>
      <c r="W80" s="166"/>
      <c r="X80" s="682">
        <f t="shared" si="4"/>
        <v>0</v>
      </c>
      <c r="Y80" s="166">
        <f t="shared" si="5"/>
        <v>0</v>
      </c>
      <c r="Z80" s="682">
        <f t="shared" si="13"/>
        <v>0</v>
      </c>
      <c r="AA80" s="166">
        <f t="shared" si="8"/>
        <v>0</v>
      </c>
      <c r="AB80" s="166"/>
      <c r="AC80" s="166"/>
      <c r="AD80" s="166"/>
      <c r="AE80" s="166"/>
      <c r="AF80" s="167"/>
      <c r="AG80" s="167"/>
      <c r="AH80" s="167"/>
      <c r="AI80" s="167"/>
      <c r="AJ80" s="167"/>
      <c r="AK80" s="167"/>
      <c r="AL80" s="167"/>
      <c r="AM80" s="167"/>
      <c r="AN80" s="167"/>
      <c r="AO80" s="167"/>
      <c r="AP80" s="167"/>
      <c r="AQ80" s="167"/>
      <c r="AR80" s="167"/>
      <c r="AS80" s="167"/>
      <c r="AT80" s="167"/>
      <c r="AU80" s="167"/>
      <c r="AV80" s="167"/>
      <c r="AW80" s="167"/>
      <c r="AX80" s="167"/>
      <c r="AY80" s="167"/>
      <c r="AZ80" s="167"/>
      <c r="BA80" s="167"/>
      <c r="BB80" s="167"/>
      <c r="BC80" s="167"/>
      <c r="BD80" s="167"/>
      <c r="BE80" s="167"/>
      <c r="BF80" s="167"/>
      <c r="BG80" s="167"/>
      <c r="BH80" s="167"/>
      <c r="BI80" s="167"/>
      <c r="BJ80" s="167"/>
      <c r="BK80" s="167"/>
      <c r="BL80" s="167"/>
      <c r="BM80" s="167"/>
      <c r="BN80" s="167"/>
      <c r="BO80" s="167"/>
      <c r="BP80" s="167"/>
      <c r="BQ80" s="167"/>
      <c r="BR80" s="167"/>
      <c r="BS80" s="167"/>
      <c r="BT80" s="167"/>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row>
    <row r="81" spans="1:257" x14ac:dyDescent="0.3">
      <c r="A81" s="278" t="s">
        <v>185</v>
      </c>
      <c r="B81" s="432"/>
      <c r="C81" s="431"/>
      <c r="D81" s="431"/>
      <c r="E81" s="431"/>
      <c r="F81" s="388" t="s">
        <v>338</v>
      </c>
      <c r="G81" s="450">
        <f>COUNTIF(B81:E81,"&gt;0")</f>
        <v>0</v>
      </c>
      <c r="H81" s="430"/>
      <c r="I81" s="418" t="s">
        <v>96</v>
      </c>
      <c r="J81" s="92"/>
      <c r="K81" s="451">
        <f t="shared" si="10"/>
        <v>0</v>
      </c>
      <c r="L81" s="452">
        <f t="shared" si="11"/>
        <v>0</v>
      </c>
      <c r="M81" s="92"/>
      <c r="N81" s="551">
        <f t="shared" si="12"/>
        <v>0</v>
      </c>
      <c r="O81" s="67" t="s">
        <v>68</v>
      </c>
      <c r="P81" s="68" t="s">
        <v>50</v>
      </c>
      <c r="Q81" s="389">
        <f>(IF(B81&gt;0,'Références Récolte Herbe'!S16,0)+IF(C81&gt;0,'Références Récolte Herbe'!T16,0)+IF(D81&gt;0,'Références Récolte Herbe'!U16,0)+IF(E81&gt;0,'Références Récolte Herbe'!V16,0))*IF(G81=1,1,0)</f>
        <v>0</v>
      </c>
      <c r="R81" s="390" t="s">
        <v>68</v>
      </c>
      <c r="S81" s="167"/>
      <c r="T81" s="680">
        <f>(IF($B81&gt;0,'Références Récolte Herbe'!O16,0)+IF($C81&gt;0,'Références Récolte Herbe'!P16,0)+IF($D81&gt;0,'Références Récolte Herbe'!Q16,0)+IF($E81&gt;0,'Références Récolte Herbe'!R16,0))*IF($G81=1,1,0)</f>
        <v>0</v>
      </c>
      <c r="U81" s="166"/>
      <c r="V81" s="166"/>
      <c r="W81" s="166"/>
      <c r="X81" s="682">
        <f t="shared" si="4"/>
        <v>0</v>
      </c>
      <c r="Y81" s="166">
        <f>IF(H81&gt;0,1,0)</f>
        <v>0</v>
      </c>
      <c r="Z81" s="682">
        <f t="shared" si="13"/>
        <v>0</v>
      </c>
      <c r="AA81" s="166">
        <f t="shared" si="8"/>
        <v>0</v>
      </c>
      <c r="AB81" s="166"/>
      <c r="AC81" s="166"/>
      <c r="AD81" s="166"/>
      <c r="AE81" s="166"/>
      <c r="AF81" s="167"/>
      <c r="AG81" s="167"/>
      <c r="AH81" s="167"/>
      <c r="AI81" s="167"/>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7"/>
      <c r="BF81" s="167"/>
      <c r="BG81" s="167"/>
      <c r="BH81" s="167"/>
      <c r="BI81" s="167"/>
      <c r="BJ81" s="167"/>
      <c r="BK81" s="167"/>
      <c r="BL81" s="167"/>
      <c r="BM81" s="167"/>
      <c r="BN81" s="167"/>
      <c r="BO81" s="167"/>
      <c r="BP81" s="167"/>
      <c r="BQ81" s="167"/>
      <c r="BR81" s="167"/>
      <c r="BS81" s="167"/>
      <c r="BT81" s="167"/>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row>
    <row r="82" spans="1:257" x14ac:dyDescent="0.3">
      <c r="A82" s="278" t="s">
        <v>238</v>
      </c>
      <c r="B82" s="432"/>
      <c r="C82" s="431"/>
      <c r="D82" s="431"/>
      <c r="E82" s="431"/>
      <c r="F82" s="388" t="s">
        <v>338</v>
      </c>
      <c r="G82" s="450">
        <f t="shared" si="9"/>
        <v>0</v>
      </c>
      <c r="H82" s="430"/>
      <c r="I82" s="418" t="s">
        <v>227</v>
      </c>
      <c r="J82" s="92"/>
      <c r="K82" s="451">
        <f t="shared" si="10"/>
        <v>0</v>
      </c>
      <c r="L82" s="452">
        <f t="shared" si="11"/>
        <v>0</v>
      </c>
      <c r="M82" s="92"/>
      <c r="N82" s="551">
        <f t="shared" si="12"/>
        <v>0</v>
      </c>
      <c r="O82" s="67" t="s">
        <v>228</v>
      </c>
      <c r="P82" s="68" t="s">
        <v>50</v>
      </c>
      <c r="Q82" s="389">
        <f>(IF(B82&gt;0,'Références Récolte Herbe'!S17,0)+IF(C82&gt;0,'Références Récolte Herbe'!T17,0)+IF(D82&gt;0,'Références Récolte Herbe'!U17,0)+IF(E82&gt;0,'Références Récolte Herbe'!V17,0))*IF(G82=1,1,0)</f>
        <v>0</v>
      </c>
      <c r="R82" s="390" t="s">
        <v>228</v>
      </c>
      <c r="S82" s="167"/>
      <c r="T82" s="680">
        <f>(IF($B82&gt;0,'Références Récolte Herbe'!O17,0)+IF($C82&gt;0,'Références Récolte Herbe'!P17,0)+IF($D82&gt;0,'Références Récolte Herbe'!Q17,0)+IF($E82&gt;0,'Références Récolte Herbe'!R17,0))*IF($G82=1,1,0)</f>
        <v>0</v>
      </c>
      <c r="U82" s="166"/>
      <c r="V82" s="166"/>
      <c r="W82" s="166"/>
      <c r="X82" s="682">
        <f t="shared" si="4"/>
        <v>0</v>
      </c>
      <c r="Y82" s="166">
        <f t="shared" si="5"/>
        <v>0</v>
      </c>
      <c r="Z82" s="682">
        <f t="shared" si="13"/>
        <v>0</v>
      </c>
      <c r="AA82" s="166">
        <f t="shared" si="8"/>
        <v>0</v>
      </c>
      <c r="AB82" s="166"/>
      <c r="AC82" s="166"/>
      <c r="AD82" s="166"/>
      <c r="AE82" s="166"/>
      <c r="AF82" s="167"/>
      <c r="AG82" s="167"/>
      <c r="AH82" s="167"/>
      <c r="AI82" s="167"/>
      <c r="AJ82" s="167"/>
      <c r="AK82" s="167"/>
      <c r="AL82" s="167"/>
      <c r="AM82" s="167"/>
      <c r="AN82" s="167"/>
      <c r="AO82" s="167"/>
      <c r="AP82" s="167"/>
      <c r="AQ82" s="167"/>
      <c r="AR82" s="167"/>
      <c r="AS82" s="167"/>
      <c r="AT82" s="167"/>
      <c r="AU82" s="167"/>
      <c r="AV82" s="167"/>
      <c r="AW82" s="167"/>
      <c r="AX82" s="167"/>
      <c r="AY82" s="167"/>
      <c r="AZ82" s="167"/>
      <c r="BA82" s="167"/>
      <c r="BB82" s="167"/>
      <c r="BC82" s="167"/>
      <c r="BD82" s="167"/>
      <c r="BE82" s="167"/>
      <c r="BF82" s="167"/>
      <c r="BG82" s="167"/>
      <c r="BH82" s="167"/>
      <c r="BI82" s="167"/>
      <c r="BJ82" s="167"/>
      <c r="BK82" s="167"/>
      <c r="BL82" s="167"/>
      <c r="BM82" s="167"/>
      <c r="BN82" s="167"/>
      <c r="BO82" s="167"/>
      <c r="BP82" s="167"/>
      <c r="BQ82" s="167"/>
      <c r="BR82" s="167"/>
      <c r="BS82" s="167"/>
      <c r="BT82" s="167"/>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row>
    <row r="83" spans="1:257" x14ac:dyDescent="0.3">
      <c r="A83" s="278" t="s">
        <v>239</v>
      </c>
      <c r="B83" s="432"/>
      <c r="C83" s="431"/>
      <c r="D83" s="431"/>
      <c r="E83" s="431"/>
      <c r="F83" s="388" t="s">
        <v>338</v>
      </c>
      <c r="G83" s="450">
        <f t="shared" si="9"/>
        <v>0</v>
      </c>
      <c r="H83" s="430"/>
      <c r="I83" s="418" t="s">
        <v>227</v>
      </c>
      <c r="J83" s="92"/>
      <c r="K83" s="451">
        <f t="shared" si="10"/>
        <v>0</v>
      </c>
      <c r="L83" s="452">
        <f t="shared" si="11"/>
        <v>0</v>
      </c>
      <c r="M83" s="92"/>
      <c r="N83" s="551">
        <f t="shared" si="12"/>
        <v>0</v>
      </c>
      <c r="O83" s="67" t="s">
        <v>228</v>
      </c>
      <c r="P83" s="68" t="s">
        <v>50</v>
      </c>
      <c r="Q83" s="389">
        <f>(IF(B83&gt;0,'Références Récolte Herbe'!S18,0)+IF(C83&gt;0,'Références Récolte Herbe'!T18,0)+IF(D83&gt;0,'Références Récolte Herbe'!U18,0)+IF(E83&gt;0,'Références Récolte Herbe'!V18,0))*IF(G83=1,1,0)</f>
        <v>0</v>
      </c>
      <c r="R83" s="390" t="s">
        <v>228</v>
      </c>
      <c r="S83" s="167"/>
      <c r="T83" s="680">
        <f>(IF($B83&gt;0,'Références Récolte Herbe'!O18,0)+IF($C83&gt;0,'Références Récolte Herbe'!P18,0)+IF($D83&gt;0,'Références Récolte Herbe'!Q18,0)+IF($E83&gt;0,'Références Récolte Herbe'!R18,0))*IF($G83=1,1,0)</f>
        <v>0</v>
      </c>
      <c r="U83" s="166"/>
      <c r="V83" s="166"/>
      <c r="W83" s="166"/>
      <c r="X83" s="682">
        <f t="shared" si="4"/>
        <v>0</v>
      </c>
      <c r="Y83" s="166">
        <f t="shared" si="5"/>
        <v>0</v>
      </c>
      <c r="Z83" s="682">
        <f t="shared" si="13"/>
        <v>0</v>
      </c>
      <c r="AA83" s="166">
        <f t="shared" si="8"/>
        <v>0</v>
      </c>
      <c r="AB83" s="166"/>
      <c r="AC83" s="166"/>
      <c r="AD83" s="166"/>
      <c r="AE83" s="166"/>
      <c r="AF83" s="167"/>
      <c r="AG83" s="167"/>
      <c r="AH83" s="167"/>
      <c r="AI83" s="167"/>
      <c r="AJ83" s="167"/>
      <c r="AK83" s="167"/>
      <c r="AL83" s="167"/>
      <c r="AM83" s="167"/>
      <c r="AN83" s="167"/>
      <c r="AO83" s="167"/>
      <c r="AP83" s="167"/>
      <c r="AQ83" s="167"/>
      <c r="AR83" s="167"/>
      <c r="AS83" s="167"/>
      <c r="AT83" s="167"/>
      <c r="AU83" s="167"/>
      <c r="AV83" s="167"/>
      <c r="AW83" s="167"/>
      <c r="AX83" s="167"/>
      <c r="AY83" s="167"/>
      <c r="AZ83" s="167"/>
      <c r="BA83" s="167"/>
      <c r="BB83" s="167"/>
      <c r="BC83" s="167"/>
      <c r="BD83" s="167"/>
      <c r="BE83" s="167"/>
      <c r="BF83" s="167"/>
      <c r="BG83" s="167"/>
      <c r="BH83" s="167"/>
      <c r="BI83" s="167"/>
      <c r="BJ83" s="167"/>
      <c r="BK83" s="167"/>
      <c r="BL83" s="167"/>
      <c r="BM83" s="167"/>
      <c r="BN83" s="167"/>
      <c r="BO83" s="167"/>
      <c r="BP83" s="167"/>
      <c r="BQ83" s="167"/>
      <c r="BR83" s="167"/>
      <c r="BS83" s="167"/>
      <c r="BT83" s="167"/>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row>
    <row r="84" spans="1:257" x14ac:dyDescent="0.3">
      <c r="A84" s="278" t="s">
        <v>240</v>
      </c>
      <c r="B84" s="432"/>
      <c r="C84" s="431"/>
      <c r="D84" s="431"/>
      <c r="E84" s="431"/>
      <c r="F84" s="388" t="s">
        <v>338</v>
      </c>
      <c r="G84" s="450">
        <f t="shared" si="9"/>
        <v>0</v>
      </c>
      <c r="H84" s="430"/>
      <c r="I84" s="418" t="s">
        <v>227</v>
      </c>
      <c r="J84" s="92"/>
      <c r="K84" s="451">
        <f t="shared" si="10"/>
        <v>0</v>
      </c>
      <c r="L84" s="452">
        <f t="shared" si="11"/>
        <v>0</v>
      </c>
      <c r="M84" s="92"/>
      <c r="N84" s="551">
        <f t="shared" si="12"/>
        <v>0</v>
      </c>
      <c r="O84" s="67" t="s">
        <v>228</v>
      </c>
      <c r="P84" s="68" t="s">
        <v>50</v>
      </c>
      <c r="Q84" s="389">
        <f>(IF(B84&gt;0,'Références Récolte Herbe'!S19,0)+IF(C84&gt;0,'Références Récolte Herbe'!T19,0)+IF(D84&gt;0,'Références Récolte Herbe'!U19,0)+IF(E84&gt;0,'Références Récolte Herbe'!V19,0))*IF(G84=1,1,0)</f>
        <v>0</v>
      </c>
      <c r="R84" s="390" t="s">
        <v>228</v>
      </c>
      <c r="S84" s="167"/>
      <c r="T84" s="680">
        <f>(IF($B84&gt;0,'Références Récolte Herbe'!O19,0)+IF($C84&gt;0,'Références Récolte Herbe'!P19,0)+IF($D84&gt;0,'Références Récolte Herbe'!Q19,0)+IF($E84&gt;0,'Références Récolte Herbe'!R19,0))*IF($G84=1,1,0)</f>
        <v>0</v>
      </c>
      <c r="U84" s="166"/>
      <c r="V84" s="166"/>
      <c r="W84" s="166"/>
      <c r="X84" s="682">
        <f t="shared" si="4"/>
        <v>0</v>
      </c>
      <c r="Y84" s="166">
        <f t="shared" si="5"/>
        <v>0</v>
      </c>
      <c r="Z84" s="682">
        <f t="shared" si="13"/>
        <v>0</v>
      </c>
      <c r="AA84" s="166">
        <f t="shared" si="8"/>
        <v>0</v>
      </c>
      <c r="AB84" s="166"/>
      <c r="AC84" s="166"/>
      <c r="AD84" s="166"/>
      <c r="AE84" s="166"/>
      <c r="AF84" s="167"/>
      <c r="AG84" s="167"/>
      <c r="AH84" s="167"/>
      <c r="AI84" s="167"/>
      <c r="AJ84" s="167"/>
      <c r="AK84" s="167"/>
      <c r="AL84" s="167"/>
      <c r="AM84" s="167"/>
      <c r="AN84" s="167"/>
      <c r="AO84" s="167"/>
      <c r="AP84" s="167"/>
      <c r="AQ84" s="167"/>
      <c r="AR84" s="167"/>
      <c r="AS84" s="167"/>
      <c r="AT84" s="167"/>
      <c r="AU84" s="167"/>
      <c r="AV84" s="167"/>
      <c r="AW84" s="167"/>
      <c r="AX84" s="167"/>
      <c r="AY84" s="167"/>
      <c r="AZ84" s="167"/>
      <c r="BA84" s="167"/>
      <c r="BB84" s="167"/>
      <c r="BC84" s="167"/>
      <c r="BD84" s="167"/>
      <c r="BE84" s="167"/>
      <c r="BF84" s="167"/>
      <c r="BG84" s="167"/>
      <c r="BH84" s="167"/>
      <c r="BI84" s="167"/>
      <c r="BJ84" s="167"/>
      <c r="BK84" s="167"/>
      <c r="BL84" s="167"/>
      <c r="BM84" s="167"/>
      <c r="BN84" s="167"/>
      <c r="BO84" s="167"/>
      <c r="BP84" s="167"/>
      <c r="BQ84" s="167"/>
      <c r="BR84" s="167"/>
      <c r="BS84" s="167"/>
      <c r="BT84" s="167"/>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row>
    <row r="85" spans="1:257" x14ac:dyDescent="0.3">
      <c r="A85" s="278" t="s">
        <v>189</v>
      </c>
      <c r="B85" s="432"/>
      <c r="C85" s="431"/>
      <c r="D85" s="431"/>
      <c r="E85" s="431"/>
      <c r="F85" s="388" t="s">
        <v>338</v>
      </c>
      <c r="G85" s="450">
        <f t="shared" si="9"/>
        <v>0</v>
      </c>
      <c r="H85" s="430"/>
      <c r="I85" s="418" t="s">
        <v>227</v>
      </c>
      <c r="J85" s="92"/>
      <c r="K85" s="451">
        <f t="shared" si="10"/>
        <v>0</v>
      </c>
      <c r="L85" s="452">
        <f t="shared" si="11"/>
        <v>0</v>
      </c>
      <c r="M85" s="92"/>
      <c r="N85" s="551">
        <f t="shared" si="12"/>
        <v>0</v>
      </c>
      <c r="O85" s="67" t="s">
        <v>228</v>
      </c>
      <c r="P85" s="68" t="s">
        <v>50</v>
      </c>
      <c r="Q85" s="389">
        <f>(IF(B85&gt;0,'Références Récolte Herbe'!S20,0)+IF(C85&gt;0,'Références Récolte Herbe'!T20,0)+IF(D85&gt;0,'Références Récolte Herbe'!U20,0)+IF(E85&gt;0,'Références Récolte Herbe'!V20,0))*IF(G85=1,1,0)</f>
        <v>0</v>
      </c>
      <c r="R85" s="390" t="s">
        <v>228</v>
      </c>
      <c r="S85" s="167"/>
      <c r="T85" s="680">
        <f>(IF($B85&gt;0,'Références Récolte Herbe'!O20,0)+IF($C85&gt;0,'Références Récolte Herbe'!P20,0)+IF($D85&gt;0,'Références Récolte Herbe'!Q20,0)+IF($E85&gt;0,'Références Récolte Herbe'!R20,0))*IF($G85=1,1,0)</f>
        <v>0</v>
      </c>
      <c r="U85" s="166"/>
      <c r="V85" s="166"/>
      <c r="W85" s="166"/>
      <c r="X85" s="682">
        <f t="shared" si="4"/>
        <v>0</v>
      </c>
      <c r="Y85" s="166">
        <f t="shared" si="5"/>
        <v>0</v>
      </c>
      <c r="Z85" s="682">
        <f t="shared" si="13"/>
        <v>0</v>
      </c>
      <c r="AA85" s="166">
        <f t="shared" si="8"/>
        <v>0</v>
      </c>
      <c r="AB85" s="166"/>
      <c r="AC85" s="166"/>
      <c r="AD85" s="166"/>
      <c r="AE85" s="166"/>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7"/>
      <c r="BF85" s="167"/>
      <c r="BG85" s="167"/>
      <c r="BH85" s="167"/>
      <c r="BI85" s="167"/>
      <c r="BJ85" s="167"/>
      <c r="BK85" s="167"/>
      <c r="BL85" s="167"/>
      <c r="BM85" s="167"/>
      <c r="BN85" s="167"/>
      <c r="BO85" s="167"/>
      <c r="BP85" s="167"/>
      <c r="BQ85" s="167"/>
      <c r="BR85" s="167"/>
      <c r="BS85" s="167"/>
      <c r="BT85" s="167"/>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row>
    <row r="86" spans="1:257" x14ac:dyDescent="0.3">
      <c r="A86" s="278" t="s">
        <v>242</v>
      </c>
      <c r="B86" s="432"/>
      <c r="C86" s="431"/>
      <c r="D86" s="431"/>
      <c r="E86" s="431"/>
      <c r="F86" s="388" t="s">
        <v>338</v>
      </c>
      <c r="G86" s="450">
        <f t="shared" si="9"/>
        <v>0</v>
      </c>
      <c r="H86" s="430"/>
      <c r="I86" s="418" t="s">
        <v>96</v>
      </c>
      <c r="J86" s="92"/>
      <c r="K86" s="451">
        <f t="shared" si="10"/>
        <v>0</v>
      </c>
      <c r="L86" s="452">
        <f t="shared" si="11"/>
        <v>0</v>
      </c>
      <c r="M86" s="92"/>
      <c r="N86" s="551">
        <f t="shared" si="12"/>
        <v>0</v>
      </c>
      <c r="O86" s="67" t="s">
        <v>68</v>
      </c>
      <c r="P86" s="68" t="s">
        <v>50</v>
      </c>
      <c r="Q86" s="389">
        <f>(IF(B86&gt;0,'Références Récolte Herbe'!S21,0)+IF(C86&gt;0,'Références Récolte Herbe'!T21,0)+IF(D86&gt;0,'Références Récolte Herbe'!U21,0)+IF(E86&gt;0,'Références Récolte Herbe'!V21,0))*IF(G86=1,1,0)</f>
        <v>0</v>
      </c>
      <c r="R86" s="390" t="s">
        <v>68</v>
      </c>
      <c r="S86" s="167"/>
      <c r="T86" s="680">
        <f>(IF($B86&gt;0,'Références Récolte Herbe'!O21,0)+IF($C86&gt;0,'Références Récolte Herbe'!P21,0)+IF($D86&gt;0,'Références Récolte Herbe'!Q21,0)+IF($E86&gt;0,'Références Récolte Herbe'!R21,0))*IF($G86=1,1,0)</f>
        <v>0</v>
      </c>
      <c r="U86" s="166"/>
      <c r="V86" s="166"/>
      <c r="W86" s="166"/>
      <c r="X86" s="682">
        <f t="shared" si="4"/>
        <v>0</v>
      </c>
      <c r="Y86" s="166">
        <f t="shared" si="5"/>
        <v>0</v>
      </c>
      <c r="Z86" s="682">
        <f t="shared" si="13"/>
        <v>0</v>
      </c>
      <c r="AA86" s="166">
        <f t="shared" si="8"/>
        <v>0</v>
      </c>
      <c r="AB86" s="166"/>
      <c r="AC86" s="166"/>
      <c r="AD86" s="166"/>
      <c r="AE86" s="166"/>
      <c r="AF86" s="167"/>
      <c r="AG86" s="167"/>
      <c r="AH86" s="167"/>
      <c r="AI86" s="167"/>
      <c r="AJ86" s="167"/>
      <c r="AK86" s="167"/>
      <c r="AL86" s="167"/>
      <c r="AM86" s="167"/>
      <c r="AN86" s="167"/>
      <c r="AO86" s="167"/>
      <c r="AP86" s="167"/>
      <c r="AQ86" s="167"/>
      <c r="AR86" s="167"/>
      <c r="AS86" s="167"/>
      <c r="AT86" s="167"/>
      <c r="AU86" s="167"/>
      <c r="AV86" s="167"/>
      <c r="AW86" s="167"/>
      <c r="AX86" s="167"/>
      <c r="AY86" s="167"/>
      <c r="AZ86" s="167"/>
      <c r="BA86" s="167"/>
      <c r="BB86" s="167"/>
      <c r="BC86" s="167"/>
      <c r="BD86" s="167"/>
      <c r="BE86" s="167"/>
      <c r="BF86" s="167"/>
      <c r="BG86" s="167"/>
      <c r="BH86" s="167"/>
      <c r="BI86" s="167"/>
      <c r="BJ86" s="167"/>
      <c r="BK86" s="167"/>
      <c r="BL86" s="167"/>
      <c r="BM86" s="167"/>
      <c r="BN86" s="167"/>
      <c r="BO86" s="167"/>
      <c r="BP86" s="167"/>
      <c r="BQ86" s="167"/>
      <c r="BR86" s="167"/>
      <c r="BS86" s="167"/>
      <c r="BT86" s="167"/>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row>
    <row r="87" spans="1:257" x14ac:dyDescent="0.3">
      <c r="A87" s="278" t="s">
        <v>241</v>
      </c>
      <c r="B87" s="432"/>
      <c r="C87" s="431"/>
      <c r="D87" s="431"/>
      <c r="E87" s="431"/>
      <c r="F87" s="388" t="s">
        <v>338</v>
      </c>
      <c r="G87" s="450">
        <f t="shared" si="9"/>
        <v>0</v>
      </c>
      <c r="H87" s="430"/>
      <c r="I87" s="418" t="s">
        <v>96</v>
      </c>
      <c r="J87" s="92"/>
      <c r="K87" s="451">
        <f t="shared" si="10"/>
        <v>0</v>
      </c>
      <c r="L87" s="452">
        <f t="shared" si="11"/>
        <v>0</v>
      </c>
      <c r="M87" s="92"/>
      <c r="N87" s="551">
        <f t="shared" si="12"/>
        <v>0</v>
      </c>
      <c r="O87" s="67" t="s">
        <v>68</v>
      </c>
      <c r="P87" s="68" t="s">
        <v>50</v>
      </c>
      <c r="Q87" s="389">
        <f>(IF(B87&gt;0,'Références Récolte Herbe'!S22,0)+IF(C87&gt;0,'Références Récolte Herbe'!T22,0)+IF(D87&gt;0,'Références Récolte Herbe'!U22,0)+IF(E87&gt;0,'Références Récolte Herbe'!V22,0))*IF(G87=1,1,0)</f>
        <v>0</v>
      </c>
      <c r="R87" s="390" t="s">
        <v>68</v>
      </c>
      <c r="S87" s="167"/>
      <c r="T87" s="680">
        <f>(IF($B87&gt;0,'Références Récolte Herbe'!O22,0)+IF($C87&gt;0,'Références Récolte Herbe'!P22,0)+IF($D87&gt;0,'Références Récolte Herbe'!Q22,0)+IF($E87&gt;0,'Références Récolte Herbe'!R22,0))*IF($G87=1,1,0)</f>
        <v>0</v>
      </c>
      <c r="U87" s="166"/>
      <c r="V87" s="166"/>
      <c r="W87" s="166"/>
      <c r="X87" s="682">
        <f t="shared" si="4"/>
        <v>0</v>
      </c>
      <c r="Y87" s="166">
        <f t="shared" si="5"/>
        <v>0</v>
      </c>
      <c r="Z87" s="682">
        <f t="shared" si="13"/>
        <v>0</v>
      </c>
      <c r="AA87" s="166">
        <f t="shared" si="8"/>
        <v>0</v>
      </c>
      <c r="AB87" s="166"/>
      <c r="AC87" s="166"/>
      <c r="AD87" s="166"/>
      <c r="AE87" s="166"/>
      <c r="AF87" s="167"/>
      <c r="AG87" s="167"/>
      <c r="AH87" s="167"/>
      <c r="AI87" s="167"/>
      <c r="AJ87" s="167"/>
      <c r="AK87" s="167"/>
      <c r="AL87" s="167"/>
      <c r="AM87" s="167"/>
      <c r="AN87" s="167"/>
      <c r="AO87" s="167"/>
      <c r="AP87" s="167"/>
      <c r="AQ87" s="167"/>
      <c r="AR87" s="167"/>
      <c r="AS87" s="167"/>
      <c r="AT87" s="167"/>
      <c r="AU87" s="167"/>
      <c r="AV87" s="167"/>
      <c r="AW87" s="167"/>
      <c r="AX87" s="167"/>
      <c r="AY87" s="167"/>
      <c r="AZ87" s="167"/>
      <c r="BA87" s="167"/>
      <c r="BB87" s="167"/>
      <c r="BC87" s="167"/>
      <c r="BD87" s="167"/>
      <c r="BE87" s="167"/>
      <c r="BF87" s="167"/>
      <c r="BG87" s="167"/>
      <c r="BH87" s="167"/>
      <c r="BI87" s="167"/>
      <c r="BJ87" s="167"/>
      <c r="BK87" s="167"/>
      <c r="BL87" s="167"/>
      <c r="BM87" s="167"/>
      <c r="BN87" s="167"/>
      <c r="BO87" s="167"/>
      <c r="BP87" s="167"/>
      <c r="BQ87" s="167"/>
      <c r="BR87" s="167"/>
      <c r="BS87" s="167"/>
      <c r="BT87" s="167"/>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row>
    <row r="88" spans="1:257" x14ac:dyDescent="0.3">
      <c r="A88" s="301"/>
      <c r="B88" s="420" t="s">
        <v>247</v>
      </c>
      <c r="C88" s="92"/>
      <c r="D88" s="92"/>
      <c r="E88" s="92"/>
      <c r="F88" s="92"/>
      <c r="G88" s="92"/>
      <c r="H88" s="92"/>
      <c r="I88" s="92"/>
      <c r="J88" s="92"/>
      <c r="K88" s="92"/>
      <c r="L88" s="147"/>
      <c r="M88" s="92"/>
      <c r="N88" s="66"/>
      <c r="O88" s="67"/>
      <c r="P88" s="68"/>
      <c r="Q88" s="95"/>
      <c r="R88" s="70"/>
      <c r="S88" s="167"/>
      <c r="T88" s="167"/>
      <c r="U88" s="166"/>
      <c r="V88" s="166"/>
      <c r="W88" s="166"/>
      <c r="X88" s="683">
        <f>SUM(X65:X87)</f>
        <v>0</v>
      </c>
      <c r="Y88" s="684">
        <f>SUM(Y65:Y87)</f>
        <v>0</v>
      </c>
      <c r="Z88" s="683">
        <f>SUM(Z78:Z87)</f>
        <v>0</v>
      </c>
      <c r="AA88" s="684">
        <f>SUM(AA65:AA87)</f>
        <v>0</v>
      </c>
      <c r="AB88" s="166"/>
      <c r="AC88" s="166"/>
      <c r="AD88" s="166"/>
      <c r="AE88" s="166"/>
      <c r="AF88" s="167"/>
      <c r="AG88" s="167"/>
      <c r="AH88" s="167"/>
      <c r="AI88" s="167"/>
      <c r="AJ88" s="167"/>
      <c r="AK88" s="167"/>
      <c r="AL88" s="167"/>
      <c r="AM88" s="167"/>
      <c r="AN88" s="167"/>
      <c r="AO88" s="167"/>
      <c r="AP88" s="167"/>
      <c r="AQ88" s="167"/>
      <c r="AR88" s="167"/>
      <c r="AS88" s="167"/>
      <c r="AT88" s="167"/>
      <c r="AU88" s="167"/>
      <c r="AV88" s="167"/>
      <c r="AW88" s="167"/>
      <c r="AX88" s="167"/>
      <c r="AY88" s="167"/>
      <c r="AZ88" s="167"/>
      <c r="BA88" s="167"/>
      <c r="BB88" s="167"/>
      <c r="BC88" s="167"/>
      <c r="BD88" s="167"/>
      <c r="BE88" s="167"/>
      <c r="BF88" s="167"/>
      <c r="BG88" s="167"/>
      <c r="BH88" s="167"/>
      <c r="BI88" s="167"/>
      <c r="BJ88" s="167"/>
      <c r="BK88" s="167"/>
      <c r="BL88" s="167"/>
      <c r="BM88" s="167"/>
      <c r="BN88" s="167"/>
      <c r="BO88" s="167"/>
      <c r="BP88" s="167"/>
      <c r="BQ88" s="167"/>
      <c r="BR88" s="167"/>
      <c r="BS88" s="167"/>
      <c r="BT88" s="167"/>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row>
    <row r="89" spans="1:257" ht="8.1" customHeight="1" x14ac:dyDescent="0.3">
      <c r="A89" s="82"/>
      <c r="B89" s="48"/>
      <c r="C89" s="83"/>
      <c r="D89" s="83"/>
      <c r="E89" s="83"/>
      <c r="F89" s="83"/>
      <c r="G89" s="83"/>
      <c r="H89" s="83"/>
      <c r="I89" s="83"/>
      <c r="J89" s="83"/>
      <c r="K89" s="83"/>
      <c r="L89" s="83"/>
      <c r="M89" s="83"/>
      <c r="N89" s="84"/>
      <c r="O89" s="85"/>
      <c r="P89" s="86"/>
      <c r="Q89" s="83"/>
      <c r="R89" s="87"/>
      <c r="S89" s="167"/>
      <c r="T89" s="167"/>
      <c r="U89" s="166"/>
      <c r="V89" s="166"/>
      <c r="W89" s="166"/>
      <c r="X89" s="166"/>
      <c r="Y89" s="166"/>
      <c r="Z89" s="166"/>
      <c r="AA89" s="166"/>
      <c r="AB89" s="166"/>
      <c r="AC89" s="166"/>
      <c r="AD89" s="166"/>
      <c r="AE89" s="166"/>
      <c r="AF89" s="167"/>
      <c r="AG89" s="167"/>
      <c r="AH89" s="167"/>
      <c r="AI89" s="167"/>
      <c r="AJ89" s="167"/>
      <c r="AK89" s="167"/>
      <c r="AL89" s="167"/>
      <c r="AM89" s="167"/>
      <c r="AN89" s="167"/>
      <c r="AO89" s="167"/>
      <c r="AP89" s="167"/>
      <c r="AQ89" s="167"/>
      <c r="AR89" s="167"/>
      <c r="AS89" s="167"/>
      <c r="AT89" s="167"/>
      <c r="AU89" s="167"/>
      <c r="AV89" s="167"/>
      <c r="AW89" s="167"/>
      <c r="AX89" s="167"/>
      <c r="AY89" s="167"/>
      <c r="AZ89" s="167"/>
      <c r="BA89" s="167"/>
      <c r="BB89" s="167"/>
      <c r="BC89" s="167"/>
      <c r="BD89" s="167"/>
      <c r="BE89" s="167"/>
      <c r="BF89" s="167"/>
      <c r="BG89" s="167"/>
      <c r="BH89" s="167"/>
      <c r="BI89" s="167"/>
      <c r="BJ89" s="167"/>
      <c r="BK89" s="167"/>
      <c r="BL89" s="167"/>
      <c r="BM89" s="167"/>
      <c r="BN89" s="167"/>
      <c r="BO89" s="167"/>
      <c r="BP89" s="167"/>
      <c r="BQ89" s="167"/>
      <c r="BR89" s="167"/>
      <c r="BS89" s="167"/>
      <c r="BT89" s="167"/>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row>
    <row r="90" spans="1:257" ht="8.1" customHeight="1" x14ac:dyDescent="0.3">
      <c r="A90" s="12"/>
      <c r="B90" s="12"/>
      <c r="C90" s="16"/>
      <c r="D90" s="16"/>
      <c r="E90" s="16"/>
      <c r="F90" s="16"/>
      <c r="G90" s="16"/>
      <c r="H90" s="16"/>
      <c r="I90" s="16"/>
      <c r="J90" s="16"/>
      <c r="K90" s="16"/>
      <c r="L90" s="16"/>
      <c r="M90" s="16"/>
      <c r="N90" s="51"/>
      <c r="O90" s="88"/>
      <c r="P90" s="53"/>
      <c r="Q90" s="16"/>
      <c r="R90" s="17"/>
      <c r="S90" s="167"/>
      <c r="T90" s="167"/>
      <c r="U90" s="166"/>
      <c r="V90" s="166"/>
      <c r="W90" s="166"/>
      <c r="X90" s="166"/>
      <c r="Y90" s="166"/>
      <c r="Z90" s="166"/>
      <c r="AA90" s="166"/>
      <c r="AB90" s="166"/>
      <c r="AC90" s="166"/>
      <c r="AD90" s="166"/>
      <c r="AE90" s="166"/>
      <c r="AF90" s="167"/>
      <c r="AG90" s="167"/>
      <c r="AH90" s="167"/>
      <c r="AI90" s="167"/>
      <c r="AJ90" s="167"/>
      <c r="AK90" s="167"/>
      <c r="AL90" s="167"/>
      <c r="AM90" s="167"/>
      <c r="AN90" s="167"/>
      <c r="AO90" s="167"/>
      <c r="AP90" s="167"/>
      <c r="AQ90" s="167"/>
      <c r="AR90" s="167"/>
      <c r="AS90" s="167"/>
      <c r="AT90" s="167"/>
      <c r="AU90" s="167"/>
      <c r="AV90" s="167"/>
      <c r="AW90" s="167"/>
      <c r="AX90" s="167"/>
      <c r="AY90" s="167"/>
      <c r="AZ90" s="167"/>
      <c r="BA90" s="167"/>
      <c r="BB90" s="167"/>
      <c r="BC90" s="167"/>
      <c r="BD90" s="167"/>
      <c r="BE90" s="167"/>
      <c r="BF90" s="167"/>
      <c r="BG90" s="167"/>
      <c r="BH90" s="167"/>
      <c r="BI90" s="167"/>
      <c r="BJ90" s="167"/>
      <c r="BK90" s="167"/>
      <c r="BL90" s="167"/>
      <c r="BM90" s="167"/>
      <c r="BN90" s="167"/>
      <c r="BO90" s="167"/>
      <c r="BP90" s="167"/>
      <c r="BQ90" s="167"/>
      <c r="BR90" s="167"/>
      <c r="BS90" s="167"/>
      <c r="BT90" s="167"/>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row>
    <row r="91" spans="1:257" ht="15.6" x14ac:dyDescent="0.3">
      <c r="A91" s="18" t="s">
        <v>65</v>
      </c>
      <c r="B91" s="19"/>
      <c r="C91" s="20"/>
      <c r="D91" s="20"/>
      <c r="E91" s="20"/>
      <c r="F91" s="20"/>
      <c r="G91" s="20"/>
      <c r="H91" s="20"/>
      <c r="I91" s="20"/>
      <c r="J91" s="20"/>
      <c r="K91" s="20"/>
      <c r="L91" s="20"/>
      <c r="M91" s="20"/>
      <c r="N91" s="55"/>
      <c r="O91" s="89"/>
      <c r="P91" s="57"/>
      <c r="R91" s="34"/>
      <c r="S91" s="167"/>
      <c r="T91" s="167"/>
      <c r="U91" s="166"/>
      <c r="V91" s="166"/>
      <c r="W91" s="166"/>
      <c r="X91" s="166"/>
      <c r="Y91" s="166"/>
      <c r="Z91" s="166"/>
      <c r="AA91" s="166"/>
      <c r="AB91" s="166"/>
      <c r="AC91" s="166"/>
      <c r="AD91" s="166"/>
      <c r="AE91" s="166"/>
      <c r="AF91" s="167"/>
      <c r="AG91" s="167"/>
      <c r="AH91" s="167"/>
      <c r="AI91" s="167"/>
      <c r="AJ91" s="167"/>
      <c r="AK91" s="167"/>
      <c r="AL91" s="167"/>
      <c r="AM91" s="167"/>
      <c r="AN91" s="167"/>
      <c r="AO91" s="167"/>
      <c r="AP91" s="167"/>
      <c r="AQ91" s="167"/>
      <c r="AR91" s="167"/>
      <c r="AS91" s="167"/>
      <c r="AT91" s="167"/>
      <c r="AU91" s="167"/>
      <c r="AV91" s="167"/>
      <c r="AW91" s="167"/>
      <c r="AX91" s="167"/>
      <c r="AY91" s="167"/>
      <c r="AZ91" s="167"/>
      <c r="BA91" s="167"/>
      <c r="BB91" s="167"/>
      <c r="BC91" s="167"/>
      <c r="BD91" s="167"/>
      <c r="BE91" s="167"/>
      <c r="BF91" s="167"/>
      <c r="BG91" s="167"/>
      <c r="BH91" s="167"/>
      <c r="BI91" s="167"/>
      <c r="BJ91" s="167"/>
      <c r="BK91" s="167"/>
      <c r="BL91" s="167"/>
      <c r="BM91" s="167"/>
      <c r="BN91" s="167"/>
      <c r="BO91" s="167"/>
      <c r="BP91" s="167"/>
      <c r="BQ91" s="167"/>
      <c r="BR91" s="167"/>
      <c r="BS91" s="167"/>
      <c r="BT91" s="167"/>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row>
    <row r="92" spans="1:257" ht="8.1" customHeight="1" x14ac:dyDescent="0.3">
      <c r="A92" s="26"/>
      <c r="B92" s="26"/>
      <c r="C92" s="3"/>
      <c r="D92" s="3"/>
      <c r="E92" s="3"/>
      <c r="F92" s="3"/>
      <c r="G92" s="3"/>
      <c r="H92" s="3"/>
      <c r="I92" s="3"/>
      <c r="J92" s="3"/>
      <c r="K92" s="3"/>
      <c r="L92" s="3"/>
      <c r="M92" s="3"/>
      <c r="N92" s="58"/>
      <c r="O92" s="62"/>
      <c r="P92" s="57"/>
      <c r="R92" s="34"/>
      <c r="S92" s="167"/>
      <c r="T92" s="167"/>
      <c r="U92" s="166"/>
      <c r="V92" s="166"/>
      <c r="W92" s="166"/>
      <c r="X92" s="166"/>
      <c r="Y92" s="166"/>
      <c r="Z92" s="166"/>
      <c r="AA92" s="166"/>
      <c r="AB92" s="166"/>
      <c r="AC92" s="166"/>
      <c r="AD92" s="166"/>
      <c r="AE92" s="166"/>
      <c r="AF92" s="167"/>
      <c r="AG92" s="167"/>
      <c r="AH92" s="167"/>
      <c r="AI92" s="167"/>
      <c r="AJ92" s="167"/>
      <c r="AK92" s="167"/>
      <c r="AL92" s="167"/>
      <c r="AM92" s="167"/>
      <c r="AN92" s="167"/>
      <c r="AO92" s="167"/>
      <c r="AP92" s="167"/>
      <c r="AQ92" s="167"/>
      <c r="AR92" s="167"/>
      <c r="AS92" s="167"/>
      <c r="AT92" s="167"/>
      <c r="AU92" s="167"/>
      <c r="AV92" s="167"/>
      <c r="AW92" s="167"/>
      <c r="AX92" s="167"/>
      <c r="AY92" s="167"/>
      <c r="AZ92" s="167"/>
      <c r="BA92" s="167"/>
      <c r="BB92" s="167"/>
      <c r="BC92" s="167"/>
      <c r="BD92" s="167"/>
      <c r="BE92" s="167"/>
      <c r="BF92" s="167"/>
      <c r="BG92" s="167"/>
      <c r="BH92" s="167"/>
      <c r="BI92" s="167"/>
      <c r="BJ92" s="167"/>
      <c r="BK92" s="167"/>
      <c r="BL92" s="167"/>
      <c r="BM92" s="167"/>
      <c r="BN92" s="167"/>
      <c r="BO92" s="167"/>
      <c r="BP92" s="167"/>
      <c r="BQ92" s="167"/>
      <c r="BR92" s="167"/>
      <c r="BS92" s="167"/>
      <c r="BT92" s="167"/>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row>
    <row r="93" spans="1:257" ht="12.75" customHeight="1" x14ac:dyDescent="0.3">
      <c r="A93" s="39" t="s">
        <v>128</v>
      </c>
      <c r="B93" s="198"/>
      <c r="C93" s="28" t="s">
        <v>103</v>
      </c>
      <c r="E93" s="41"/>
      <c r="F93" s="41"/>
      <c r="G93" s="41"/>
      <c r="H93" s="41"/>
      <c r="I93" s="41"/>
      <c r="J93" s="41"/>
      <c r="K93" s="41"/>
      <c r="N93" s="93"/>
      <c r="O93" s="62"/>
      <c r="P93" s="57"/>
      <c r="Q93" s="40"/>
      <c r="R93" s="34"/>
      <c r="S93" s="167"/>
      <c r="T93" s="167"/>
      <c r="U93" s="166"/>
      <c r="V93" s="166"/>
      <c r="W93" s="166"/>
      <c r="X93" s="166"/>
      <c r="Y93" s="166"/>
      <c r="Z93" s="166"/>
      <c r="AA93" s="166"/>
      <c r="AB93" s="166"/>
      <c r="AC93" s="166"/>
      <c r="AD93" s="166"/>
      <c r="AE93" s="166"/>
      <c r="AF93" s="167"/>
      <c r="AG93" s="167"/>
      <c r="AH93" s="167"/>
      <c r="AI93" s="167"/>
      <c r="AJ93" s="167"/>
      <c r="AK93" s="167"/>
      <c r="AL93" s="167"/>
      <c r="AM93" s="167"/>
      <c r="AN93" s="167"/>
      <c r="AO93" s="167"/>
      <c r="AP93" s="167"/>
      <c r="AQ93" s="167"/>
      <c r="AR93" s="167"/>
      <c r="AS93" s="167"/>
      <c r="AT93" s="167"/>
      <c r="AU93" s="167"/>
      <c r="AV93" s="167"/>
      <c r="AW93" s="167"/>
      <c r="AX93" s="167"/>
      <c r="AY93" s="167"/>
      <c r="AZ93" s="167"/>
      <c r="BA93" s="167"/>
      <c r="BB93" s="167"/>
      <c r="BC93" s="167"/>
      <c r="BD93" s="167"/>
      <c r="BE93" s="167"/>
      <c r="BF93" s="167"/>
      <c r="BG93" s="167"/>
      <c r="BH93" s="167"/>
      <c r="BI93" s="167"/>
      <c r="BJ93" s="167"/>
      <c r="BK93" s="167"/>
      <c r="BL93" s="167"/>
      <c r="BM93" s="167"/>
      <c r="BN93" s="167"/>
      <c r="BO93" s="167"/>
      <c r="BP93" s="167"/>
      <c r="BQ93" s="167"/>
      <c r="BR93" s="167"/>
      <c r="BS93" s="167"/>
      <c r="BT93" s="167"/>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row>
    <row r="94" spans="1:257" ht="12.75" customHeight="1" x14ac:dyDescent="0.3">
      <c r="A94" s="26" t="s">
        <v>129</v>
      </c>
      <c r="B94" s="199"/>
      <c r="C94" s="28" t="s">
        <v>130</v>
      </c>
      <c r="E94" s="27"/>
      <c r="F94" s="27"/>
      <c r="G94" s="27"/>
      <c r="H94" s="161"/>
      <c r="I94" s="161"/>
      <c r="J94" s="161"/>
      <c r="K94" s="161"/>
      <c r="L94" s="41" t="e">
        <f>B93/B94</f>
        <v>#DIV/0!</v>
      </c>
      <c r="M94" s="2" t="s">
        <v>78</v>
      </c>
      <c r="N94" s="93"/>
      <c r="O94" s="62"/>
      <c r="P94" s="57"/>
      <c r="Q94" s="40"/>
      <c r="R94" s="34"/>
      <c r="S94" s="167"/>
      <c r="T94" s="167"/>
      <c r="U94" s="166"/>
      <c r="V94" s="166"/>
      <c r="W94" s="166"/>
      <c r="X94" s="166"/>
      <c r="Y94" s="166"/>
      <c r="Z94" s="166"/>
      <c r="AA94" s="166"/>
      <c r="AB94" s="166"/>
      <c r="AC94" s="166"/>
      <c r="AD94" s="166"/>
      <c r="AE94" s="166"/>
      <c r="AF94" s="167"/>
      <c r="AG94" s="167"/>
      <c r="AH94" s="167"/>
      <c r="AI94" s="167"/>
      <c r="AJ94" s="167"/>
      <c r="AK94" s="167"/>
      <c r="AL94" s="167"/>
      <c r="AM94" s="167"/>
      <c r="AN94" s="167"/>
      <c r="AO94" s="167"/>
      <c r="AP94" s="167"/>
      <c r="AQ94" s="167"/>
      <c r="AR94" s="167"/>
      <c r="AS94" s="167"/>
      <c r="AT94" s="167"/>
      <c r="AU94" s="167"/>
      <c r="AV94" s="167"/>
      <c r="AW94" s="167"/>
      <c r="AX94" s="167"/>
      <c r="AY94" s="167"/>
      <c r="AZ94" s="167"/>
      <c r="BA94" s="167"/>
      <c r="BB94" s="167"/>
      <c r="BC94" s="167"/>
      <c r="BD94" s="167"/>
      <c r="BE94" s="167"/>
      <c r="BF94" s="167"/>
      <c r="BG94" s="167"/>
      <c r="BH94" s="167"/>
      <c r="BI94" s="167"/>
      <c r="BJ94" s="167"/>
      <c r="BK94" s="167"/>
      <c r="BL94" s="167"/>
      <c r="BM94" s="167"/>
      <c r="BN94" s="167"/>
      <c r="BO94" s="167"/>
      <c r="BP94" s="167"/>
      <c r="BQ94" s="167"/>
      <c r="BR94" s="167"/>
      <c r="BS94" s="167"/>
      <c r="BT94" s="167"/>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row>
    <row r="95" spans="1:257" ht="8.1" customHeight="1" x14ac:dyDescent="0.3">
      <c r="A95" s="26"/>
      <c r="B95" s="26"/>
      <c r="C95" s="3"/>
      <c r="D95" s="3"/>
      <c r="E95" s="3"/>
      <c r="F95" s="3"/>
      <c r="G95" s="3"/>
      <c r="H95" s="162"/>
      <c r="I95" s="162"/>
      <c r="J95" s="162"/>
      <c r="K95" s="162"/>
      <c r="L95" s="3"/>
      <c r="M95" s="3"/>
      <c r="N95" s="26"/>
      <c r="O95" s="96"/>
      <c r="P95" s="57"/>
      <c r="R95" s="34"/>
      <c r="S95" s="167"/>
      <c r="T95" s="167"/>
      <c r="U95" s="166"/>
      <c r="V95" s="166"/>
      <c r="W95" s="166"/>
      <c r="X95" s="166"/>
      <c r="Y95" s="166"/>
      <c r="Z95" s="166"/>
      <c r="AA95" s="166"/>
      <c r="AB95" s="166"/>
      <c r="AC95" s="166"/>
      <c r="AD95" s="166"/>
      <c r="AE95" s="166"/>
      <c r="AF95" s="167"/>
      <c r="AG95" s="167"/>
      <c r="AH95" s="167"/>
      <c r="AI95" s="167"/>
      <c r="AJ95" s="167"/>
      <c r="AK95" s="167"/>
      <c r="AL95" s="167"/>
      <c r="AM95" s="167"/>
      <c r="AN95" s="167"/>
      <c r="AO95" s="167"/>
      <c r="AP95" s="167"/>
      <c r="AQ95" s="167"/>
      <c r="AR95" s="167"/>
      <c r="AS95" s="167"/>
      <c r="AT95" s="167"/>
      <c r="AU95" s="167"/>
      <c r="AV95" s="167"/>
      <c r="AW95" s="167"/>
      <c r="AX95" s="167"/>
      <c r="AY95" s="167"/>
      <c r="AZ95" s="167"/>
      <c r="BA95" s="167"/>
      <c r="BB95" s="167"/>
      <c r="BC95" s="167"/>
      <c r="BD95" s="167"/>
      <c r="BE95" s="167"/>
      <c r="BF95" s="167"/>
      <c r="BG95" s="167"/>
      <c r="BH95" s="167"/>
      <c r="BI95" s="167"/>
      <c r="BJ95" s="167"/>
      <c r="BK95" s="167"/>
      <c r="BL95" s="167"/>
      <c r="BM95" s="167"/>
      <c r="BN95" s="167"/>
      <c r="BO95" s="167"/>
      <c r="BP95" s="167"/>
      <c r="BQ95" s="167"/>
      <c r="BR95" s="167"/>
      <c r="BS95" s="167"/>
      <c r="BT95" s="167"/>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row>
    <row r="96" spans="1:257" ht="12.75" customHeight="1" x14ac:dyDescent="0.3">
      <c r="A96" s="39" t="s">
        <v>131</v>
      </c>
      <c r="B96" s="97"/>
      <c r="C96" s="27"/>
      <c r="D96" s="27"/>
      <c r="E96" s="27"/>
      <c r="F96" s="27"/>
      <c r="G96" s="27"/>
      <c r="H96" s="161"/>
      <c r="I96" s="164"/>
      <c r="J96" s="164"/>
      <c r="K96" s="164"/>
      <c r="L96" s="41">
        <f>SUM(L97:L101,L103,L105:L106,L109:L111)</f>
        <v>0</v>
      </c>
      <c r="M96" s="2" t="s">
        <v>78</v>
      </c>
      <c r="N96" s="93"/>
      <c r="O96" s="62"/>
      <c r="P96" s="57"/>
      <c r="Q96" s="40"/>
      <c r="R96" s="34"/>
      <c r="S96" s="167"/>
      <c r="T96" s="167"/>
      <c r="U96" s="166"/>
      <c r="V96" s="166"/>
      <c r="W96" s="166"/>
      <c r="X96" s="166"/>
      <c r="Y96" s="166"/>
      <c r="Z96" s="166"/>
      <c r="AA96" s="166"/>
      <c r="AB96" s="166"/>
      <c r="AC96" s="166"/>
      <c r="AD96" s="166"/>
      <c r="AE96" s="166"/>
      <c r="AF96" s="167"/>
      <c r="AG96" s="167"/>
      <c r="AH96" s="167"/>
      <c r="AI96" s="167"/>
      <c r="AJ96" s="167"/>
      <c r="AK96" s="167"/>
      <c r="AL96" s="167"/>
      <c r="AM96" s="167"/>
      <c r="AN96" s="167"/>
      <c r="AO96" s="167"/>
      <c r="AP96" s="167"/>
      <c r="AQ96" s="167"/>
      <c r="AR96" s="167"/>
      <c r="AS96" s="167"/>
      <c r="AT96" s="167"/>
      <c r="AU96" s="167"/>
      <c r="AV96" s="167"/>
      <c r="AW96" s="167"/>
      <c r="AX96" s="167"/>
      <c r="AY96" s="167"/>
      <c r="AZ96" s="167"/>
      <c r="BA96" s="167"/>
      <c r="BB96" s="167"/>
      <c r="BC96" s="167"/>
      <c r="BD96" s="167"/>
      <c r="BE96" s="167"/>
      <c r="BF96" s="167"/>
      <c r="BG96" s="167"/>
      <c r="BH96" s="167"/>
      <c r="BI96" s="167"/>
      <c r="BJ96" s="167"/>
      <c r="BK96" s="167"/>
      <c r="BL96" s="167"/>
      <c r="BM96" s="167"/>
      <c r="BN96" s="167"/>
      <c r="BO96" s="167"/>
      <c r="BP96" s="167"/>
      <c r="BQ96" s="167"/>
      <c r="BR96" s="167"/>
      <c r="BS96" s="167"/>
      <c r="BT96" s="167"/>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row>
    <row r="97" spans="1:257" ht="12.75" customHeight="1" x14ac:dyDescent="0.3">
      <c r="A97" s="26" t="s">
        <v>132</v>
      </c>
      <c r="B97" s="200"/>
      <c r="C97" s="3" t="s">
        <v>133</v>
      </c>
      <c r="H97" s="163"/>
      <c r="I97" s="165"/>
      <c r="J97" s="166">
        <v>17</v>
      </c>
      <c r="K97" s="166" t="s">
        <v>71</v>
      </c>
      <c r="L97" s="2">
        <f>B97*J97</f>
        <v>0</v>
      </c>
      <c r="M97" s="2" t="s">
        <v>78</v>
      </c>
      <c r="N97" s="93"/>
      <c r="O97" s="62"/>
      <c r="P97" s="57"/>
      <c r="Q97" s="40"/>
      <c r="R97" s="34"/>
      <c r="S97" s="167"/>
      <c r="T97" s="167"/>
      <c r="U97" s="166"/>
      <c r="V97" s="166"/>
      <c r="W97" s="166"/>
      <c r="X97" s="166"/>
      <c r="Y97" s="166"/>
      <c r="Z97" s="166"/>
      <c r="AA97" s="166"/>
      <c r="AB97" s="166"/>
      <c r="AC97" s="166"/>
      <c r="AD97" s="166"/>
      <c r="AE97" s="166"/>
      <c r="AF97" s="167"/>
      <c r="AG97" s="167"/>
      <c r="AH97" s="167"/>
      <c r="AI97" s="167"/>
      <c r="AJ97" s="167"/>
      <c r="AK97" s="167"/>
      <c r="AL97" s="167"/>
      <c r="AM97" s="167"/>
      <c r="AN97" s="167"/>
      <c r="AO97" s="167"/>
      <c r="AP97" s="167"/>
      <c r="AQ97" s="167"/>
      <c r="AR97" s="167"/>
      <c r="AS97" s="167"/>
      <c r="AT97" s="167"/>
      <c r="AU97" s="167"/>
      <c r="AV97" s="167"/>
      <c r="AW97" s="167"/>
      <c r="AX97" s="167"/>
      <c r="AY97" s="167"/>
      <c r="AZ97" s="167"/>
      <c r="BA97" s="167"/>
      <c r="BB97" s="167"/>
      <c r="BC97" s="167"/>
      <c r="BD97" s="167"/>
      <c r="BE97" s="167"/>
      <c r="BF97" s="167"/>
      <c r="BG97" s="167"/>
      <c r="BH97" s="167"/>
      <c r="BI97" s="167"/>
      <c r="BJ97" s="167"/>
      <c r="BK97" s="167"/>
      <c r="BL97" s="167"/>
      <c r="BM97" s="167"/>
      <c r="BN97" s="167"/>
      <c r="BO97" s="167"/>
      <c r="BP97" s="167"/>
      <c r="BQ97" s="167"/>
      <c r="BR97" s="167"/>
      <c r="BS97" s="167"/>
      <c r="BT97" s="167"/>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row>
    <row r="98" spans="1:257" ht="12.75" customHeight="1" x14ac:dyDescent="0.3">
      <c r="A98" s="26" t="s">
        <v>134</v>
      </c>
      <c r="B98" s="200"/>
      <c r="C98" s="3" t="s">
        <v>133</v>
      </c>
      <c r="H98" s="163"/>
      <c r="I98" s="165"/>
      <c r="J98" s="166">
        <v>22</v>
      </c>
      <c r="K98" s="166" t="s">
        <v>71</v>
      </c>
      <c r="L98" s="2">
        <f>B98*J98</f>
        <v>0</v>
      </c>
      <c r="M98" s="2" t="s">
        <v>78</v>
      </c>
      <c r="N98" s="93"/>
      <c r="O98" s="62"/>
      <c r="P98" s="57"/>
      <c r="Q98" s="40"/>
      <c r="R98" s="34"/>
      <c r="S98" s="167"/>
      <c r="T98" s="167"/>
      <c r="U98" s="166"/>
      <c r="V98" s="166"/>
      <c r="W98" s="166"/>
      <c r="X98" s="166"/>
      <c r="Y98" s="166"/>
      <c r="Z98" s="166"/>
      <c r="AA98" s="166"/>
      <c r="AB98" s="166"/>
      <c r="AC98" s="166"/>
      <c r="AD98" s="166"/>
      <c r="AE98" s="166"/>
      <c r="AF98" s="167"/>
      <c r="AG98" s="167"/>
      <c r="AH98" s="167"/>
      <c r="AI98" s="167"/>
      <c r="AJ98" s="167"/>
      <c r="AK98" s="167"/>
      <c r="AL98" s="167"/>
      <c r="AM98" s="167"/>
      <c r="AN98" s="167"/>
      <c r="AO98" s="167"/>
      <c r="AP98" s="167"/>
      <c r="AQ98" s="167"/>
      <c r="AR98" s="167"/>
      <c r="AS98" s="167"/>
      <c r="AT98" s="167"/>
      <c r="AU98" s="167"/>
      <c r="AV98" s="167"/>
      <c r="AW98" s="167"/>
      <c r="AX98" s="167"/>
      <c r="AY98" s="167"/>
      <c r="AZ98" s="167"/>
      <c r="BA98" s="167"/>
      <c r="BB98" s="167"/>
      <c r="BC98" s="167"/>
      <c r="BD98" s="167"/>
      <c r="BE98" s="167"/>
      <c r="BF98" s="167"/>
      <c r="BG98" s="167"/>
      <c r="BH98" s="167"/>
      <c r="BI98" s="167"/>
      <c r="BJ98" s="167"/>
      <c r="BK98" s="167"/>
      <c r="BL98" s="167"/>
      <c r="BM98" s="167"/>
      <c r="BN98" s="167"/>
      <c r="BO98" s="167"/>
      <c r="BP98" s="167"/>
      <c r="BQ98" s="167"/>
      <c r="BR98" s="167"/>
      <c r="BS98" s="167"/>
      <c r="BT98" s="167"/>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row>
    <row r="99" spans="1:257" ht="12.75" customHeight="1" x14ac:dyDescent="0.3">
      <c r="A99" s="26" t="s">
        <v>135</v>
      </c>
      <c r="B99" s="200"/>
      <c r="C99" s="3" t="s">
        <v>133</v>
      </c>
      <c r="H99" s="163"/>
      <c r="I99" s="165"/>
      <c r="J99" s="166">
        <v>54</v>
      </c>
      <c r="K99" s="166" t="s">
        <v>71</v>
      </c>
      <c r="L99" s="2">
        <f>B99*J99</f>
        <v>0</v>
      </c>
      <c r="M99" s="2" t="s">
        <v>78</v>
      </c>
      <c r="N99" s="93"/>
      <c r="O99" s="62"/>
      <c r="P99" s="57"/>
      <c r="Q99" s="40"/>
      <c r="R99" s="34"/>
      <c r="S99" s="167"/>
      <c r="T99" s="167"/>
      <c r="U99" s="166"/>
      <c r="V99" s="166"/>
      <c r="W99" s="166"/>
      <c r="X99" s="167"/>
      <c r="Y99" s="167"/>
      <c r="Z99" s="167"/>
      <c r="AA99" s="167"/>
      <c r="AB99" s="167"/>
      <c r="AC99" s="167"/>
      <c r="AD99" s="167"/>
      <c r="AE99" s="167"/>
      <c r="AF99" s="167"/>
      <c r="AG99" s="167"/>
      <c r="AH99" s="167"/>
      <c r="AI99" s="167"/>
      <c r="AJ99" s="167"/>
      <c r="AK99" s="167"/>
      <c r="AL99" s="167"/>
      <c r="AM99" s="167"/>
      <c r="AN99" s="167"/>
      <c r="AO99" s="167"/>
      <c r="AP99" s="167"/>
      <c r="AQ99" s="167"/>
      <c r="AR99" s="167"/>
      <c r="AS99" s="167"/>
      <c r="AT99" s="167"/>
      <c r="AU99" s="167"/>
      <c r="AV99" s="167"/>
      <c r="AW99" s="167"/>
      <c r="AX99" s="167"/>
      <c r="AY99" s="167"/>
      <c r="AZ99" s="167"/>
      <c r="BA99" s="167"/>
      <c r="BB99" s="167"/>
      <c r="BC99" s="167"/>
      <c r="BD99" s="167"/>
      <c r="BE99" s="167"/>
      <c r="BF99" s="167"/>
      <c r="BG99" s="167"/>
      <c r="BH99" s="167"/>
      <c r="BI99" s="167"/>
      <c r="BJ99" s="167"/>
      <c r="BK99" s="167"/>
      <c r="BL99" s="167"/>
      <c r="BM99" s="167"/>
      <c r="BN99" s="167"/>
      <c r="BO99" s="167"/>
      <c r="BP99" s="167"/>
      <c r="BQ99" s="167"/>
      <c r="BR99" s="167"/>
      <c r="BS99" s="167"/>
      <c r="BT99" s="167"/>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row>
    <row r="100" spans="1:257" ht="12.75" customHeight="1" x14ac:dyDescent="0.3">
      <c r="A100" s="26" t="s">
        <v>136</v>
      </c>
      <c r="B100" s="200"/>
      <c r="C100" s="3" t="s">
        <v>133</v>
      </c>
      <c r="H100" s="163"/>
      <c r="I100" s="165"/>
      <c r="J100" s="166">
        <v>41</v>
      </c>
      <c r="K100" s="166" t="s">
        <v>71</v>
      </c>
      <c r="L100" s="98">
        <f>B100*J100</f>
        <v>0</v>
      </c>
      <c r="M100" s="2" t="s">
        <v>78</v>
      </c>
      <c r="N100" s="93"/>
      <c r="O100" s="62"/>
      <c r="P100" s="57"/>
      <c r="Q100" s="40"/>
      <c r="R100" s="34"/>
      <c r="S100" s="167"/>
      <c r="T100" s="167"/>
      <c r="U100" s="166"/>
      <c r="V100" s="166"/>
      <c r="W100" s="166"/>
      <c r="X100" s="167"/>
      <c r="Y100" s="167"/>
      <c r="Z100" s="167"/>
      <c r="AA100" s="167"/>
      <c r="AB100" s="167"/>
      <c r="AC100" s="167"/>
      <c r="AD100" s="167"/>
      <c r="AE100" s="167"/>
      <c r="AF100" s="167"/>
      <c r="AG100" s="167"/>
      <c r="AH100" s="167"/>
      <c r="AI100" s="167"/>
      <c r="AJ100" s="167"/>
      <c r="AK100" s="167"/>
      <c r="AL100" s="167"/>
      <c r="AM100" s="167"/>
      <c r="AN100" s="167"/>
      <c r="AO100" s="167"/>
      <c r="AP100" s="167"/>
      <c r="AQ100" s="167"/>
      <c r="AR100" s="167"/>
      <c r="AS100" s="167"/>
      <c r="AT100" s="167"/>
      <c r="AU100" s="167"/>
      <c r="AV100" s="167"/>
      <c r="AW100" s="167"/>
      <c r="AX100" s="167"/>
      <c r="AY100" s="167"/>
      <c r="AZ100" s="167"/>
      <c r="BA100" s="167"/>
      <c r="BB100" s="167"/>
      <c r="BC100" s="167"/>
      <c r="BD100" s="167"/>
      <c r="BE100" s="167"/>
      <c r="BF100" s="167"/>
      <c r="BG100" s="167"/>
      <c r="BH100" s="167"/>
      <c r="BI100" s="167"/>
      <c r="BJ100" s="167"/>
      <c r="BK100" s="167"/>
      <c r="BL100" s="167"/>
      <c r="BM100" s="167"/>
      <c r="BN100" s="167"/>
      <c r="BO100" s="167"/>
      <c r="BP100" s="167"/>
      <c r="BQ100" s="167"/>
      <c r="BR100" s="167"/>
      <c r="BS100" s="167"/>
      <c r="BT100" s="167"/>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row>
    <row r="101" spans="1:257" ht="12.75" customHeight="1" x14ac:dyDescent="0.3">
      <c r="A101" s="26" t="s">
        <v>137</v>
      </c>
      <c r="B101" s="200"/>
      <c r="C101" s="3" t="s">
        <v>133</v>
      </c>
      <c r="H101" s="163"/>
      <c r="I101" s="165"/>
      <c r="J101" s="166">
        <v>30</v>
      </c>
      <c r="K101" s="166" t="s">
        <v>71</v>
      </c>
      <c r="L101" s="98">
        <f>B101*J101</f>
        <v>0</v>
      </c>
      <c r="M101" s="2" t="s">
        <v>78</v>
      </c>
      <c r="N101" s="93"/>
      <c r="O101" s="62"/>
      <c r="P101" s="57"/>
      <c r="Q101" s="40"/>
      <c r="R101" s="34"/>
      <c r="S101" s="167"/>
      <c r="T101" s="167"/>
      <c r="U101" s="166"/>
      <c r="V101" s="166"/>
      <c r="W101" s="166"/>
      <c r="X101" s="167"/>
      <c r="Y101" s="167"/>
      <c r="Z101" s="167"/>
      <c r="AA101" s="167"/>
      <c r="AB101" s="167"/>
      <c r="AC101" s="167"/>
      <c r="AD101" s="167"/>
      <c r="AE101" s="167"/>
      <c r="AF101" s="167"/>
      <c r="AG101" s="167"/>
      <c r="AH101" s="167"/>
      <c r="AI101" s="167"/>
      <c r="AJ101" s="167"/>
      <c r="AK101" s="167"/>
      <c r="AL101" s="167"/>
      <c r="AM101" s="167"/>
      <c r="AN101" s="167"/>
      <c r="AO101" s="167"/>
      <c r="AP101" s="167"/>
      <c r="AQ101" s="167"/>
      <c r="AR101" s="167"/>
      <c r="AS101" s="167"/>
      <c r="AT101" s="167"/>
      <c r="AU101" s="167"/>
      <c r="AV101" s="167"/>
      <c r="AW101" s="167"/>
      <c r="AX101" s="167"/>
      <c r="AY101" s="167"/>
      <c r="AZ101" s="167"/>
      <c r="BA101" s="167"/>
      <c r="BB101" s="167"/>
      <c r="BC101" s="167"/>
      <c r="BD101" s="167"/>
      <c r="BE101" s="167"/>
      <c r="BF101" s="167"/>
      <c r="BG101" s="167"/>
      <c r="BH101" s="167"/>
      <c r="BI101" s="167"/>
      <c r="BJ101" s="167"/>
      <c r="BK101" s="167"/>
      <c r="BL101" s="167"/>
      <c r="BM101" s="167"/>
      <c r="BN101" s="167"/>
      <c r="BO101" s="167"/>
      <c r="BP101" s="167"/>
      <c r="BQ101" s="167"/>
      <c r="BR101" s="167"/>
      <c r="BS101" s="167"/>
      <c r="BT101" s="167"/>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row>
    <row r="102" spans="1:257" ht="8.1" customHeight="1" x14ac:dyDescent="0.3">
      <c r="A102" s="26"/>
      <c r="B102" s="26"/>
      <c r="C102" s="3"/>
      <c r="D102" s="3"/>
      <c r="E102" s="3"/>
      <c r="F102" s="3"/>
      <c r="G102" s="3"/>
      <c r="H102" s="162"/>
      <c r="I102" s="167"/>
      <c r="J102" s="166"/>
      <c r="K102" s="166"/>
      <c r="L102" s="3"/>
      <c r="M102" s="3"/>
      <c r="N102" s="26"/>
      <c r="O102" s="96"/>
      <c r="P102" s="57"/>
      <c r="R102" s="34"/>
      <c r="S102" s="167"/>
      <c r="T102" s="167"/>
      <c r="U102" s="166"/>
      <c r="V102" s="166"/>
      <c r="W102" s="166"/>
      <c r="X102" s="167"/>
      <c r="Y102" s="167"/>
      <c r="Z102" s="167"/>
      <c r="AA102" s="167"/>
      <c r="AB102" s="167"/>
      <c r="AC102" s="167"/>
      <c r="AD102" s="167"/>
      <c r="AE102" s="167"/>
      <c r="AF102" s="167"/>
      <c r="AG102" s="167"/>
      <c r="AH102" s="167"/>
      <c r="AI102" s="167"/>
      <c r="AJ102" s="167"/>
      <c r="AK102" s="167"/>
      <c r="AL102" s="167"/>
      <c r="AM102" s="167"/>
      <c r="AN102" s="167"/>
      <c r="AO102" s="167"/>
      <c r="AP102" s="167"/>
      <c r="AQ102" s="167"/>
      <c r="AR102" s="167"/>
      <c r="AS102" s="167"/>
      <c r="AT102" s="167"/>
      <c r="AU102" s="167"/>
      <c r="AV102" s="167"/>
      <c r="AW102" s="167"/>
      <c r="AX102" s="167"/>
      <c r="AY102" s="167"/>
      <c r="AZ102" s="167"/>
      <c r="BA102" s="167"/>
      <c r="BB102" s="167"/>
      <c r="BC102" s="167"/>
      <c r="BD102" s="167"/>
      <c r="BE102" s="167"/>
      <c r="BF102" s="167"/>
      <c r="BG102" s="167"/>
      <c r="BH102" s="167"/>
      <c r="BI102" s="167"/>
      <c r="BJ102" s="167"/>
      <c r="BK102" s="167"/>
      <c r="BL102" s="167"/>
      <c r="BM102" s="167"/>
      <c r="BN102" s="167"/>
      <c r="BO102" s="167"/>
      <c r="BP102" s="167"/>
      <c r="BQ102" s="167"/>
      <c r="BR102" s="167"/>
      <c r="BS102" s="167"/>
      <c r="BT102" s="167"/>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row>
    <row r="103" spans="1:257" ht="12.75" customHeight="1" x14ac:dyDescent="0.3">
      <c r="A103" s="26" t="s">
        <v>138</v>
      </c>
      <c r="B103" s="200"/>
      <c r="C103" s="3" t="s">
        <v>139</v>
      </c>
      <c r="H103" s="163"/>
      <c r="I103" s="165"/>
      <c r="J103" s="166">
        <v>17</v>
      </c>
      <c r="K103" s="166" t="s">
        <v>140</v>
      </c>
      <c r="L103" s="2">
        <f>B103*J103</f>
        <v>0</v>
      </c>
      <c r="M103" s="2" t="s">
        <v>78</v>
      </c>
      <c r="N103" s="93"/>
      <c r="O103" s="62"/>
      <c r="P103" s="57"/>
      <c r="Q103" s="40"/>
      <c r="R103" s="34"/>
      <c r="S103" s="167"/>
      <c r="T103" s="167"/>
      <c r="U103" s="166"/>
      <c r="V103" s="166"/>
      <c r="W103" s="166"/>
      <c r="X103" s="167"/>
      <c r="Y103" s="167"/>
      <c r="Z103" s="167"/>
      <c r="AA103" s="167"/>
      <c r="AB103" s="167"/>
      <c r="AC103" s="167"/>
      <c r="AD103" s="167"/>
      <c r="AE103" s="167"/>
      <c r="AF103" s="167"/>
      <c r="AG103" s="167"/>
      <c r="AH103" s="167"/>
      <c r="AI103" s="167"/>
      <c r="AJ103" s="167"/>
      <c r="AK103" s="167"/>
      <c r="AL103" s="167"/>
      <c r="AM103" s="167"/>
      <c r="AN103" s="167"/>
      <c r="AO103" s="167"/>
      <c r="AP103" s="167"/>
      <c r="AQ103" s="167"/>
      <c r="AR103" s="167"/>
      <c r="AS103" s="167"/>
      <c r="AT103" s="167"/>
      <c r="AU103" s="167"/>
      <c r="AV103" s="167"/>
      <c r="AW103" s="167"/>
      <c r="AX103" s="167"/>
      <c r="AY103" s="167"/>
      <c r="AZ103" s="167"/>
      <c r="BA103" s="167"/>
      <c r="BB103" s="167"/>
      <c r="BC103" s="167"/>
      <c r="BD103" s="167"/>
      <c r="BE103" s="167"/>
      <c r="BF103" s="167"/>
      <c r="BG103" s="167"/>
      <c r="BH103" s="167"/>
      <c r="BI103" s="167"/>
      <c r="BJ103" s="167"/>
      <c r="BK103" s="167"/>
      <c r="BL103" s="167"/>
      <c r="BM103" s="167"/>
      <c r="BN103" s="167"/>
      <c r="BO103" s="167"/>
      <c r="BP103" s="167"/>
      <c r="BQ103" s="167"/>
      <c r="BR103" s="167"/>
      <c r="BS103" s="167"/>
      <c r="BT103" s="167"/>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row>
    <row r="104" spans="1:257" ht="8.1" customHeight="1" x14ac:dyDescent="0.3">
      <c r="A104" s="26"/>
      <c r="B104" s="26"/>
      <c r="C104" s="3"/>
      <c r="D104" s="3"/>
      <c r="E104" s="3"/>
      <c r="F104" s="3"/>
      <c r="G104" s="3"/>
      <c r="H104" s="162"/>
      <c r="I104" s="167"/>
      <c r="J104" s="166"/>
      <c r="K104" s="166"/>
      <c r="L104" s="3"/>
      <c r="M104" s="3"/>
      <c r="N104" s="26"/>
      <c r="O104" s="96"/>
      <c r="P104" s="57"/>
      <c r="R104" s="34"/>
      <c r="S104" s="167"/>
      <c r="T104" s="167"/>
      <c r="U104" s="166"/>
      <c r="V104" s="166"/>
      <c r="W104" s="166"/>
      <c r="X104" s="167"/>
      <c r="Y104" s="167"/>
      <c r="Z104" s="167"/>
      <c r="AA104" s="167"/>
      <c r="AB104" s="167"/>
      <c r="AC104" s="167"/>
      <c r="AD104" s="167"/>
      <c r="AE104" s="167"/>
      <c r="AF104" s="167"/>
      <c r="AG104" s="167"/>
      <c r="AH104" s="167"/>
      <c r="AI104" s="167"/>
      <c r="AJ104" s="167"/>
      <c r="AK104" s="167"/>
      <c r="AL104" s="167"/>
      <c r="AM104" s="167"/>
      <c r="AN104" s="167"/>
      <c r="AO104" s="167"/>
      <c r="AP104" s="167"/>
      <c r="AQ104" s="167"/>
      <c r="AR104" s="167"/>
      <c r="AS104" s="167"/>
      <c r="AT104" s="167"/>
      <c r="AU104" s="167"/>
      <c r="AV104" s="167"/>
      <c r="AW104" s="167"/>
      <c r="AX104" s="167"/>
      <c r="AY104" s="167"/>
      <c r="AZ104" s="167"/>
      <c r="BA104" s="167"/>
      <c r="BB104" s="167"/>
      <c r="BC104" s="167"/>
      <c r="BD104" s="167"/>
      <c r="BE104" s="167"/>
      <c r="BF104" s="167"/>
      <c r="BG104" s="167"/>
      <c r="BH104" s="167"/>
      <c r="BI104" s="167"/>
      <c r="BJ104" s="167"/>
      <c r="BK104" s="167"/>
      <c r="BL104" s="167"/>
      <c r="BM104" s="167"/>
      <c r="BN104" s="167"/>
      <c r="BO104" s="167"/>
      <c r="BP104" s="167"/>
      <c r="BQ104" s="167"/>
      <c r="BR104" s="167"/>
      <c r="BS104" s="167"/>
      <c r="BT104" s="167"/>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row>
    <row r="105" spans="1:257" ht="12.75" customHeight="1" x14ac:dyDescent="0.3">
      <c r="A105" s="26" t="s">
        <v>141</v>
      </c>
      <c r="B105" s="200"/>
      <c r="C105" s="3" t="s">
        <v>139</v>
      </c>
      <c r="H105" s="163"/>
      <c r="I105" s="165"/>
      <c r="J105" s="166">
        <v>16</v>
      </c>
      <c r="K105" s="166" t="s">
        <v>140</v>
      </c>
      <c r="L105" s="2">
        <f>B105*J105</f>
        <v>0</v>
      </c>
      <c r="M105" s="2" t="s">
        <v>78</v>
      </c>
      <c r="N105" s="93"/>
      <c r="O105" s="62"/>
      <c r="P105" s="57"/>
      <c r="Q105" s="40"/>
      <c r="R105" s="34"/>
      <c r="S105" s="167"/>
      <c r="T105" s="167"/>
      <c r="U105" s="166"/>
      <c r="V105" s="166"/>
      <c r="W105" s="166"/>
      <c r="X105" s="167"/>
      <c r="Y105" s="167"/>
      <c r="Z105" s="167"/>
      <c r="AA105" s="167"/>
      <c r="AB105" s="167"/>
      <c r="AC105" s="167"/>
      <c r="AD105" s="167"/>
      <c r="AE105" s="167"/>
      <c r="AF105" s="167"/>
      <c r="AG105" s="167"/>
      <c r="AH105" s="167"/>
      <c r="AI105" s="167"/>
      <c r="AJ105" s="167"/>
      <c r="AK105" s="167"/>
      <c r="AL105" s="167"/>
      <c r="AM105" s="167"/>
      <c r="AN105" s="167"/>
      <c r="AO105" s="167"/>
      <c r="AP105" s="167"/>
      <c r="AQ105" s="167"/>
      <c r="AR105" s="167"/>
      <c r="AS105" s="167"/>
      <c r="AT105" s="167"/>
      <c r="AU105" s="167"/>
      <c r="AV105" s="167"/>
      <c r="AW105" s="167"/>
      <c r="AX105" s="167"/>
      <c r="AY105" s="167"/>
      <c r="AZ105" s="167"/>
      <c r="BA105" s="167"/>
      <c r="BB105" s="167"/>
      <c r="BC105" s="167"/>
      <c r="BD105" s="167"/>
      <c r="BE105" s="167"/>
      <c r="BF105" s="167"/>
      <c r="BG105" s="167"/>
      <c r="BH105" s="167"/>
      <c r="BI105" s="167"/>
      <c r="BJ105" s="167"/>
      <c r="BK105" s="167"/>
      <c r="BL105" s="167"/>
      <c r="BM105" s="167"/>
      <c r="BN105" s="167"/>
      <c r="BO105" s="167"/>
      <c r="BP105" s="167"/>
      <c r="BQ105" s="167"/>
      <c r="BR105" s="167"/>
      <c r="BS105" s="167"/>
      <c r="BT105" s="167"/>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row>
    <row r="106" spans="1:257" ht="12.75" customHeight="1" x14ac:dyDescent="0.3">
      <c r="A106" s="26" t="s">
        <v>142</v>
      </c>
      <c r="B106" s="200"/>
      <c r="C106" s="3" t="s">
        <v>139</v>
      </c>
      <c r="H106" s="163"/>
      <c r="I106" s="165"/>
      <c r="J106" s="166">
        <v>14</v>
      </c>
      <c r="K106" s="166" t="s">
        <v>140</v>
      </c>
      <c r="L106" s="2">
        <f>B106*J106</f>
        <v>0</v>
      </c>
      <c r="M106" s="2" t="s">
        <v>78</v>
      </c>
      <c r="N106" s="93"/>
      <c r="O106" s="62"/>
      <c r="P106" s="57"/>
      <c r="Q106" s="40"/>
      <c r="R106" s="34"/>
      <c r="S106" s="167"/>
      <c r="T106" s="167"/>
      <c r="U106" s="166"/>
      <c r="V106" s="166"/>
      <c r="W106" s="166"/>
      <c r="X106" s="167"/>
      <c r="Y106" s="167"/>
      <c r="Z106" s="167"/>
      <c r="AA106" s="167"/>
      <c r="AB106" s="167"/>
      <c r="AC106" s="167"/>
      <c r="AD106" s="167"/>
      <c r="AE106" s="167"/>
      <c r="AF106" s="167"/>
      <c r="AG106" s="167"/>
      <c r="AH106" s="167"/>
      <c r="AI106" s="167"/>
      <c r="AJ106" s="167"/>
      <c r="AK106" s="167"/>
      <c r="AL106" s="167"/>
      <c r="AM106" s="167"/>
      <c r="AN106" s="167"/>
      <c r="AO106" s="167"/>
      <c r="AP106" s="167"/>
      <c r="AQ106" s="167"/>
      <c r="AR106" s="167"/>
      <c r="AS106" s="167"/>
      <c r="AT106" s="167"/>
      <c r="AU106" s="167"/>
      <c r="AV106" s="167"/>
      <c r="AW106" s="167"/>
      <c r="AX106" s="167"/>
      <c r="AY106" s="167"/>
      <c r="AZ106" s="167"/>
      <c r="BA106" s="167"/>
      <c r="BB106" s="167"/>
      <c r="BC106" s="167"/>
      <c r="BD106" s="167"/>
      <c r="BE106" s="167"/>
      <c r="BF106" s="167"/>
      <c r="BG106" s="167"/>
      <c r="BH106" s="167"/>
      <c r="BI106" s="167"/>
      <c r="BJ106" s="167"/>
      <c r="BK106" s="167"/>
      <c r="BL106" s="167"/>
      <c r="BM106" s="167"/>
      <c r="BN106" s="167"/>
      <c r="BO106" s="167"/>
      <c r="BP106" s="167"/>
      <c r="BQ106" s="167"/>
      <c r="BR106" s="167"/>
      <c r="BS106" s="167"/>
      <c r="BT106" s="167"/>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row>
    <row r="107" spans="1:257" ht="8.1" customHeight="1" x14ac:dyDescent="0.3">
      <c r="A107" s="26"/>
      <c r="B107" s="26"/>
      <c r="C107" s="3"/>
      <c r="D107" s="3"/>
      <c r="E107" s="3"/>
      <c r="F107" s="3"/>
      <c r="G107" s="3"/>
      <c r="H107" s="162"/>
      <c r="I107" s="167"/>
      <c r="J107" s="166"/>
      <c r="K107" s="166"/>
      <c r="L107" s="3"/>
      <c r="M107" s="3"/>
      <c r="N107" s="26"/>
      <c r="O107" s="96"/>
      <c r="P107" s="57"/>
      <c r="R107" s="34"/>
      <c r="S107" s="167"/>
      <c r="T107" s="167"/>
      <c r="U107" s="166"/>
      <c r="V107" s="166"/>
      <c r="W107" s="166"/>
      <c r="X107" s="167"/>
      <c r="Y107" s="167"/>
      <c r="Z107" s="167"/>
      <c r="AA107" s="167"/>
      <c r="AB107" s="167"/>
      <c r="AC107" s="167"/>
      <c r="AD107" s="167"/>
      <c r="AE107" s="167"/>
      <c r="AF107" s="167"/>
      <c r="AG107" s="167"/>
      <c r="AH107" s="167"/>
      <c r="AI107" s="167"/>
      <c r="AJ107" s="167"/>
      <c r="AK107" s="167"/>
      <c r="AL107" s="167"/>
      <c r="AM107" s="167"/>
      <c r="AN107" s="167"/>
      <c r="AO107" s="167"/>
      <c r="AP107" s="167"/>
      <c r="AQ107" s="167"/>
      <c r="AR107" s="167"/>
      <c r="AS107" s="167"/>
      <c r="AT107" s="167"/>
      <c r="AU107" s="167"/>
      <c r="AV107" s="167"/>
      <c r="AW107" s="167"/>
      <c r="AX107" s="167"/>
      <c r="AY107" s="167"/>
      <c r="AZ107" s="167"/>
      <c r="BA107" s="167"/>
      <c r="BB107" s="167"/>
      <c r="BC107" s="167"/>
      <c r="BD107" s="167"/>
      <c r="BE107" s="167"/>
      <c r="BF107" s="167"/>
      <c r="BG107" s="167"/>
      <c r="BH107" s="167"/>
      <c r="BI107" s="167"/>
      <c r="BJ107" s="167"/>
      <c r="BK107" s="167"/>
      <c r="BL107" s="167"/>
      <c r="BM107" s="167"/>
      <c r="BN107" s="167"/>
      <c r="BO107" s="167"/>
      <c r="BP107" s="167"/>
      <c r="BQ107" s="167"/>
      <c r="BR107" s="167"/>
      <c r="BS107" s="167"/>
      <c r="BT107" s="167"/>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row>
    <row r="108" spans="1:257" ht="12.75" customHeight="1" x14ac:dyDescent="0.3">
      <c r="A108" s="26" t="s">
        <v>143</v>
      </c>
      <c r="B108" s="97"/>
      <c r="H108" s="163"/>
      <c r="I108" s="165"/>
      <c r="J108" s="168"/>
      <c r="K108" s="168"/>
      <c r="N108" s="93"/>
      <c r="O108" s="62"/>
      <c r="P108" s="57"/>
      <c r="Q108" s="40"/>
      <c r="R108" s="34"/>
      <c r="S108" s="167"/>
      <c r="T108" s="167"/>
      <c r="U108" s="166"/>
      <c r="V108" s="166"/>
      <c r="W108" s="166"/>
      <c r="X108" s="167"/>
      <c r="Y108" s="167"/>
      <c r="Z108" s="167"/>
      <c r="AA108" s="167"/>
      <c r="AB108" s="167"/>
      <c r="AC108" s="167"/>
      <c r="AD108" s="167"/>
      <c r="AE108" s="167"/>
      <c r="AF108" s="167"/>
      <c r="AG108" s="167"/>
      <c r="AH108" s="167"/>
      <c r="AI108" s="167"/>
      <c r="AJ108" s="167"/>
      <c r="AK108" s="167"/>
      <c r="AL108" s="167"/>
      <c r="AM108" s="167"/>
      <c r="AN108" s="167"/>
      <c r="AO108" s="167"/>
      <c r="AP108" s="167"/>
      <c r="AQ108" s="167"/>
      <c r="AR108" s="167"/>
      <c r="AS108" s="167"/>
      <c r="AT108" s="167"/>
      <c r="AU108" s="167"/>
      <c r="AV108" s="167"/>
      <c r="AW108" s="167"/>
      <c r="AX108" s="167"/>
      <c r="AY108" s="167"/>
      <c r="AZ108" s="167"/>
      <c r="BA108" s="167"/>
      <c r="BB108" s="167"/>
      <c r="BC108" s="167"/>
      <c r="BD108" s="167"/>
      <c r="BE108" s="167"/>
      <c r="BF108" s="167"/>
      <c r="BG108" s="167"/>
      <c r="BH108" s="167"/>
      <c r="BI108" s="167"/>
      <c r="BJ108" s="167"/>
      <c r="BK108" s="167"/>
      <c r="BL108" s="167"/>
      <c r="BM108" s="167"/>
      <c r="BN108" s="167"/>
      <c r="BO108" s="167"/>
      <c r="BP108" s="167"/>
      <c r="BQ108" s="167"/>
      <c r="BR108" s="167"/>
      <c r="BS108" s="167"/>
      <c r="BT108" s="167"/>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row>
    <row r="109" spans="1:257" ht="12.75" customHeight="1" x14ac:dyDescent="0.3">
      <c r="A109" s="26" t="s">
        <v>144</v>
      </c>
      <c r="B109" s="200"/>
      <c r="C109" s="2" t="s">
        <v>113</v>
      </c>
      <c r="D109" s="27"/>
      <c r="E109" s="201"/>
      <c r="F109" s="2" t="s">
        <v>139</v>
      </c>
      <c r="H109" s="163"/>
      <c r="I109" s="165"/>
      <c r="J109" s="169">
        <v>40</v>
      </c>
      <c r="K109" s="170" t="s">
        <v>22</v>
      </c>
      <c r="L109" s="98">
        <f>B109*E109*0.24*(J109/100)</f>
        <v>0</v>
      </c>
      <c r="M109" s="2" t="s">
        <v>78</v>
      </c>
      <c r="N109" s="93"/>
      <c r="O109" s="62"/>
      <c r="P109" s="57"/>
      <c r="Q109" s="40"/>
      <c r="R109" s="34"/>
      <c r="S109" s="167"/>
      <c r="T109" s="167"/>
      <c r="U109" s="166"/>
      <c r="V109" s="166"/>
      <c r="W109" s="166"/>
      <c r="X109" s="167"/>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167"/>
      <c r="AV109" s="167"/>
      <c r="AW109" s="167"/>
      <c r="AX109" s="167"/>
      <c r="AY109" s="167"/>
      <c r="AZ109" s="167"/>
      <c r="BA109" s="167"/>
      <c r="BB109" s="167"/>
      <c r="BC109" s="167"/>
      <c r="BD109" s="167"/>
      <c r="BE109" s="167"/>
      <c r="BF109" s="167"/>
      <c r="BG109" s="167"/>
      <c r="BH109" s="167"/>
      <c r="BI109" s="167"/>
      <c r="BJ109" s="167"/>
      <c r="BK109" s="167"/>
      <c r="BL109" s="167"/>
      <c r="BM109" s="167"/>
      <c r="BN109" s="167"/>
      <c r="BO109" s="167"/>
      <c r="BP109" s="167"/>
      <c r="BQ109" s="167"/>
      <c r="BR109" s="167"/>
      <c r="BS109" s="167"/>
      <c r="BT109" s="167"/>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row>
    <row r="110" spans="1:257" ht="12.75" customHeight="1" x14ac:dyDescent="0.3">
      <c r="A110" s="26" t="s">
        <v>145</v>
      </c>
      <c r="B110" s="200"/>
      <c r="C110" s="2" t="s">
        <v>113</v>
      </c>
      <c r="D110" s="27"/>
      <c r="E110" s="201"/>
      <c r="F110" s="2" t="s">
        <v>139</v>
      </c>
      <c r="H110" s="163"/>
      <c r="I110" s="165"/>
      <c r="J110" s="169">
        <v>35</v>
      </c>
      <c r="K110" s="170" t="s">
        <v>22</v>
      </c>
      <c r="L110" s="98">
        <f>B110*E110*0.24*(J110/100)</f>
        <v>0</v>
      </c>
      <c r="M110" s="2" t="s">
        <v>78</v>
      </c>
      <c r="N110" s="93"/>
      <c r="O110" s="62"/>
      <c r="P110" s="57"/>
      <c r="Q110" s="40"/>
      <c r="R110" s="34"/>
      <c r="S110" s="167"/>
      <c r="T110" s="167"/>
      <c r="U110" s="166"/>
      <c r="V110" s="166"/>
      <c r="W110" s="166"/>
      <c r="X110" s="167"/>
      <c r="Y110" s="167"/>
      <c r="Z110" s="167"/>
      <c r="AA110" s="167"/>
      <c r="AB110" s="167"/>
      <c r="AC110" s="167"/>
      <c r="AD110" s="167"/>
      <c r="AE110" s="167"/>
      <c r="AF110" s="167"/>
      <c r="AG110" s="167"/>
      <c r="AH110" s="167"/>
      <c r="AI110" s="167"/>
      <c r="AJ110" s="167"/>
      <c r="AK110" s="167"/>
      <c r="AL110" s="167"/>
      <c r="AM110" s="167"/>
      <c r="AN110" s="167"/>
      <c r="AO110" s="167"/>
      <c r="AP110" s="167"/>
      <c r="AQ110" s="167"/>
      <c r="AR110" s="167"/>
      <c r="AS110" s="167"/>
      <c r="AT110" s="167"/>
      <c r="AU110" s="167"/>
      <c r="AV110" s="167"/>
      <c r="AW110" s="167"/>
      <c r="AX110" s="167"/>
      <c r="AY110" s="167"/>
      <c r="AZ110" s="167"/>
      <c r="BA110" s="167"/>
      <c r="BB110" s="167"/>
      <c r="BC110" s="167"/>
      <c r="BD110" s="167"/>
      <c r="BE110" s="167"/>
      <c r="BF110" s="167"/>
      <c r="BG110" s="167"/>
      <c r="BH110" s="167"/>
      <c r="BI110" s="167"/>
      <c r="BJ110" s="167"/>
      <c r="BK110" s="167"/>
      <c r="BL110" s="167"/>
      <c r="BM110" s="167"/>
      <c r="BN110" s="167"/>
      <c r="BO110" s="167"/>
      <c r="BP110" s="167"/>
      <c r="BQ110" s="167"/>
      <c r="BR110" s="167"/>
      <c r="BS110" s="167"/>
      <c r="BT110" s="167"/>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row>
    <row r="111" spans="1:257" ht="12.75" customHeight="1" x14ac:dyDescent="0.3">
      <c r="A111" s="26" t="s">
        <v>146</v>
      </c>
      <c r="B111" s="200"/>
      <c r="C111" s="2" t="s">
        <v>113</v>
      </c>
      <c r="D111" s="27"/>
      <c r="E111" s="201"/>
      <c r="F111" s="2" t="s">
        <v>139</v>
      </c>
      <c r="H111" s="163"/>
      <c r="I111" s="165"/>
      <c r="J111" s="169">
        <v>25</v>
      </c>
      <c r="K111" s="170" t="s">
        <v>22</v>
      </c>
      <c r="L111" s="98">
        <f>B111*E111*0.24*(J111/100)</f>
        <v>0</v>
      </c>
      <c r="M111" s="2" t="s">
        <v>78</v>
      </c>
      <c r="N111" s="93"/>
      <c r="O111" s="62"/>
      <c r="P111" s="57"/>
      <c r="Q111" s="40"/>
      <c r="R111" s="34"/>
      <c r="S111" s="167"/>
      <c r="T111" s="167"/>
      <c r="U111" s="166"/>
      <c r="V111" s="166"/>
      <c r="W111" s="166"/>
      <c r="X111" s="167"/>
      <c r="Y111" s="167"/>
      <c r="Z111" s="167"/>
      <c r="AA111" s="167"/>
      <c r="AB111" s="167"/>
      <c r="AC111" s="167"/>
      <c r="AD111" s="167"/>
      <c r="AE111" s="167"/>
      <c r="AF111" s="167"/>
      <c r="AG111" s="167"/>
      <c r="AH111" s="167"/>
      <c r="AI111" s="167"/>
      <c r="AJ111" s="167"/>
      <c r="AK111" s="167"/>
      <c r="AL111" s="167"/>
      <c r="AM111" s="167"/>
      <c r="AN111" s="167"/>
      <c r="AO111" s="167"/>
      <c r="AP111" s="167"/>
      <c r="AQ111" s="167"/>
      <c r="AR111" s="167"/>
      <c r="AS111" s="167"/>
      <c r="AT111" s="167"/>
      <c r="AU111" s="167"/>
      <c r="AV111" s="167"/>
      <c r="AW111" s="167"/>
      <c r="AX111" s="167"/>
      <c r="AY111" s="167"/>
      <c r="AZ111" s="167"/>
      <c r="BA111" s="167"/>
      <c r="BB111" s="167"/>
      <c r="BC111" s="167"/>
      <c r="BD111" s="167"/>
      <c r="BE111" s="167"/>
      <c r="BF111" s="167"/>
      <c r="BG111" s="167"/>
      <c r="BH111" s="167"/>
      <c r="BI111" s="167"/>
      <c r="BJ111" s="167"/>
      <c r="BK111" s="167"/>
      <c r="BL111" s="167"/>
      <c r="BM111" s="167"/>
      <c r="BN111" s="167"/>
      <c r="BO111" s="167"/>
      <c r="BP111" s="167"/>
      <c r="BQ111" s="167"/>
      <c r="BR111" s="167"/>
      <c r="BS111" s="167"/>
      <c r="BT111" s="167"/>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row>
    <row r="112" spans="1:257" ht="8.1" customHeight="1" x14ac:dyDescent="0.3">
      <c r="A112" s="26"/>
      <c r="B112" s="26"/>
      <c r="C112" s="3"/>
      <c r="D112" s="3"/>
      <c r="E112" s="3"/>
      <c r="F112" s="3"/>
      <c r="H112" s="163"/>
      <c r="I112" s="162"/>
      <c r="J112" s="162"/>
      <c r="K112" s="162"/>
      <c r="L112" s="3"/>
      <c r="M112" s="3"/>
      <c r="N112" s="26"/>
      <c r="O112" s="96"/>
      <c r="P112" s="57"/>
      <c r="R112" s="34"/>
      <c r="S112" s="167"/>
      <c r="T112" s="167"/>
      <c r="U112" s="166"/>
      <c r="V112" s="166"/>
      <c r="W112" s="166"/>
      <c r="X112" s="167"/>
      <c r="Y112" s="167"/>
      <c r="Z112" s="167"/>
      <c r="AA112" s="167"/>
      <c r="AB112" s="167"/>
      <c r="AC112" s="167"/>
      <c r="AD112" s="167"/>
      <c r="AE112" s="167"/>
      <c r="AF112" s="167"/>
      <c r="AG112" s="167"/>
      <c r="AH112" s="167"/>
      <c r="AI112" s="167"/>
      <c r="AJ112" s="167"/>
      <c r="AK112" s="167"/>
      <c r="AL112" s="167"/>
      <c r="AM112" s="167"/>
      <c r="AN112" s="167"/>
      <c r="AO112" s="167"/>
      <c r="AP112" s="167"/>
      <c r="AQ112" s="167"/>
      <c r="AR112" s="167"/>
      <c r="AS112" s="167"/>
      <c r="AT112" s="167"/>
      <c r="AU112" s="167"/>
      <c r="AV112" s="167"/>
      <c r="AW112" s="167"/>
      <c r="AX112" s="167"/>
      <c r="AY112" s="167"/>
      <c r="AZ112" s="167"/>
      <c r="BA112" s="167"/>
      <c r="BB112" s="167"/>
      <c r="BC112" s="167"/>
      <c r="BD112" s="167"/>
      <c r="BE112" s="167"/>
      <c r="BF112" s="167"/>
      <c r="BG112" s="167"/>
      <c r="BH112" s="167"/>
      <c r="BI112" s="167"/>
      <c r="BJ112" s="167"/>
      <c r="BK112" s="167"/>
      <c r="BL112" s="167"/>
      <c r="BM112" s="167"/>
      <c r="BN112" s="167"/>
      <c r="BO112" s="167"/>
      <c r="BP112" s="167"/>
      <c r="BQ112" s="167"/>
      <c r="BR112" s="167"/>
      <c r="BS112" s="167"/>
      <c r="BT112" s="167"/>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row>
    <row r="113" spans="1:257" x14ac:dyDescent="0.3">
      <c r="A113" s="64" t="s">
        <v>147</v>
      </c>
      <c r="B113" s="26"/>
      <c r="C113" s="3"/>
      <c r="D113" s="3"/>
      <c r="E113" s="3"/>
      <c r="F113" s="3"/>
      <c r="G113" s="3"/>
      <c r="H113" s="162"/>
      <c r="I113" s="162"/>
      <c r="J113" s="162"/>
      <c r="K113" s="162"/>
      <c r="N113" s="26"/>
      <c r="O113" s="96"/>
      <c r="P113" s="26"/>
      <c r="R113" s="34"/>
      <c r="S113" s="167"/>
      <c r="T113" s="167"/>
      <c r="U113" s="166"/>
      <c r="V113" s="166"/>
      <c r="W113" s="166"/>
      <c r="X113" s="167"/>
      <c r="Y113" s="167"/>
      <c r="Z113" s="167"/>
      <c r="AA113" s="167"/>
      <c r="AB113" s="167"/>
      <c r="AC113" s="167"/>
      <c r="AD113" s="167"/>
      <c r="AE113" s="167"/>
      <c r="AF113" s="167"/>
      <c r="AG113" s="167"/>
      <c r="AH113" s="167"/>
      <c r="AI113" s="167"/>
      <c r="AJ113" s="167"/>
      <c r="AK113" s="167"/>
      <c r="AL113" s="167"/>
      <c r="AM113" s="167"/>
      <c r="AN113" s="167"/>
      <c r="AO113" s="167"/>
      <c r="AP113" s="167"/>
      <c r="AQ113" s="167"/>
      <c r="AR113" s="167"/>
      <c r="AS113" s="167"/>
      <c r="AT113" s="167"/>
      <c r="AU113" s="167"/>
      <c r="AV113" s="167"/>
      <c r="AW113" s="167"/>
      <c r="AX113" s="167"/>
      <c r="AY113" s="167"/>
      <c r="AZ113" s="167"/>
      <c r="BA113" s="167"/>
      <c r="BB113" s="167"/>
      <c r="BC113" s="167"/>
      <c r="BD113" s="167"/>
      <c r="BE113" s="167"/>
      <c r="BF113" s="167"/>
      <c r="BG113" s="167"/>
      <c r="BH113" s="167"/>
      <c r="BI113" s="167"/>
      <c r="BJ113" s="167"/>
      <c r="BK113" s="167"/>
      <c r="BL113" s="167"/>
      <c r="BM113" s="167"/>
      <c r="BN113" s="167"/>
      <c r="BO113" s="167"/>
      <c r="BP113" s="167"/>
      <c r="BQ113" s="167"/>
      <c r="BR113" s="167"/>
      <c r="BS113" s="167"/>
      <c r="BT113" s="167"/>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row>
    <row r="114" spans="1:257" x14ac:dyDescent="0.3">
      <c r="A114" s="39" t="s">
        <v>148</v>
      </c>
      <c r="B114" s="26"/>
      <c r="C114" s="3"/>
      <c r="D114" s="3"/>
      <c r="E114" s="3"/>
      <c r="F114" s="3"/>
      <c r="G114" s="3"/>
      <c r="H114" s="162"/>
      <c r="I114" s="162"/>
      <c r="J114" s="162"/>
      <c r="K114" s="162"/>
      <c r="N114" s="99" t="e">
        <f>((B93)/B94)+L96</f>
        <v>#DIV/0!</v>
      </c>
      <c r="O114" s="59" t="s">
        <v>78</v>
      </c>
      <c r="P114" s="26"/>
      <c r="R114" s="34"/>
      <c r="S114" s="167"/>
      <c r="T114" s="167"/>
      <c r="U114" s="166"/>
      <c r="V114" s="166"/>
      <c r="W114" s="166"/>
      <c r="X114" s="167"/>
      <c r="Y114" s="167"/>
      <c r="Z114" s="167"/>
      <c r="AA114" s="167"/>
      <c r="AB114" s="167"/>
      <c r="AC114" s="167"/>
      <c r="AD114" s="167"/>
      <c r="AE114" s="167"/>
      <c r="AF114" s="167"/>
      <c r="AG114" s="167"/>
      <c r="AH114" s="167"/>
      <c r="AI114" s="167"/>
      <c r="AJ114" s="167"/>
      <c r="AK114" s="167"/>
      <c r="AL114" s="167"/>
      <c r="AM114" s="167"/>
      <c r="AN114" s="167"/>
      <c r="AO114" s="167"/>
      <c r="AP114" s="167"/>
      <c r="AQ114" s="167"/>
      <c r="AR114" s="167">
        <f>SUM(AQ114:AQ122)</f>
        <v>9</v>
      </c>
      <c r="AS114" s="671">
        <f>AR114/AR$139</f>
        <v>0.1875</v>
      </c>
      <c r="AT114" s="167"/>
      <c r="AU114" s="167"/>
      <c r="AV114" s="167"/>
      <c r="AW114" s="167"/>
      <c r="AX114" s="167"/>
      <c r="AY114" s="167"/>
      <c r="AZ114" s="167"/>
      <c r="BA114" s="167"/>
      <c r="BB114" s="167"/>
      <c r="BC114" s="167"/>
      <c r="BD114" s="167"/>
      <c r="BE114" s="167"/>
      <c r="BF114" s="167"/>
      <c r="BG114" s="167"/>
      <c r="BH114" s="167"/>
      <c r="BI114" s="167"/>
      <c r="BJ114" s="167"/>
      <c r="BK114" s="167"/>
      <c r="BL114" s="167"/>
      <c r="BM114" s="167"/>
      <c r="BN114" s="167"/>
      <c r="BO114" s="167"/>
      <c r="BP114" s="167"/>
      <c r="BQ114" s="167"/>
      <c r="BR114" s="167"/>
      <c r="BS114" s="167"/>
      <c r="BT114" s="167"/>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row>
    <row r="115" spans="1:257" x14ac:dyDescent="0.3">
      <c r="A115" s="39" t="s">
        <v>149</v>
      </c>
      <c r="B115" s="26"/>
      <c r="C115" s="3"/>
      <c r="D115" s="3"/>
      <c r="E115" s="3"/>
      <c r="F115" s="3"/>
      <c r="G115" s="3"/>
      <c r="H115" s="3"/>
      <c r="I115" s="3"/>
      <c r="J115" s="3"/>
      <c r="K115" s="3"/>
      <c r="L115" s="100"/>
      <c r="M115" s="59"/>
      <c r="N115" s="551" t="e">
        <f>(N114-(B56*J97))/(L17)</f>
        <v>#DIV/0!</v>
      </c>
      <c r="O115" s="101" t="s">
        <v>71</v>
      </c>
      <c r="P115" s="102" t="str">
        <f>'Classement EA'!B55</f>
        <v>&lt;</v>
      </c>
      <c r="Q115" s="173" t="e">
        <f>'Classement EA'!C55</f>
        <v>#N/A</v>
      </c>
      <c r="R115" s="70" t="s">
        <v>71</v>
      </c>
      <c r="S115" s="167"/>
      <c r="T115" s="680" t="e">
        <f>'Classement EA'!D55</f>
        <v>#N/A</v>
      </c>
      <c r="U115" s="166"/>
      <c r="V115" s="166"/>
      <c r="W115" s="166"/>
      <c r="X115" s="166"/>
      <c r="Y115" s="166"/>
      <c r="Z115" s="166"/>
      <c r="AA115" s="166"/>
      <c r="AB115" s="166"/>
      <c r="AC115" s="166"/>
      <c r="AD115" s="166" t="e">
        <f>IF(N115&lt;=Q115,0,1)+IF(N115&lt;=T115,0,1)</f>
        <v>#DIV/0!</v>
      </c>
      <c r="AE115" s="684" t="e">
        <f>IF(AD115=1,AD115+1,0)+IF(AD115=2,AD115+3,0)</f>
        <v>#DIV/0!</v>
      </c>
      <c r="AF115" s="167"/>
      <c r="AG115" s="676" t="str">
        <f>A113</f>
        <v>Carburant total utilisé sur l'exploitation</v>
      </c>
      <c r="AH115" s="167"/>
      <c r="AI115" s="167"/>
      <c r="AJ115" s="167"/>
      <c r="AK115" s="167">
        <v>0</v>
      </c>
      <c r="AL115" s="167">
        <v>1</v>
      </c>
      <c r="AM115" s="167">
        <v>2</v>
      </c>
      <c r="AN115" s="167"/>
      <c r="AO115" s="167">
        <v>0</v>
      </c>
      <c r="AP115" s="167">
        <v>2</v>
      </c>
      <c r="AQ115" s="167">
        <v>5</v>
      </c>
      <c r="AR115" s="167"/>
      <c r="AS115" s="167"/>
      <c r="AT115" s="167"/>
      <c r="AU115" s="167">
        <v>5</v>
      </c>
      <c r="AV115" s="167">
        <v>2</v>
      </c>
      <c r="AW115" s="167"/>
      <c r="AX115" s="167">
        <v>4</v>
      </c>
      <c r="AY115" s="167">
        <v>1</v>
      </c>
      <c r="AZ115" s="167"/>
      <c r="BA115" s="167">
        <v>2</v>
      </c>
      <c r="BB115" s="167">
        <v>1</v>
      </c>
      <c r="BC115" s="167"/>
      <c r="BD115" s="167"/>
      <c r="BE115" s="167"/>
      <c r="BF115" s="167"/>
      <c r="BG115" s="167"/>
      <c r="BH115" s="167"/>
      <c r="BI115" s="167"/>
      <c r="BJ115" s="167"/>
      <c r="BK115" s="167"/>
      <c r="BL115" s="167"/>
      <c r="BM115" s="167"/>
      <c r="BN115" s="167"/>
      <c r="BO115" s="167"/>
      <c r="BP115" s="167"/>
      <c r="BQ115" s="167"/>
      <c r="BR115" s="167"/>
      <c r="BS115" s="167"/>
      <c r="BT115" s="167"/>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row>
    <row r="116" spans="1:257" ht="8.1" customHeight="1" x14ac:dyDescent="0.3">
      <c r="A116" s="103"/>
      <c r="B116" s="103"/>
      <c r="C116" s="104"/>
      <c r="D116" s="104"/>
      <c r="E116" s="104"/>
      <c r="F116" s="104"/>
      <c r="G116" s="104"/>
      <c r="H116" s="104"/>
      <c r="I116" s="104"/>
      <c r="J116" s="104"/>
      <c r="K116" s="104"/>
      <c r="L116" s="104"/>
      <c r="M116" s="104"/>
      <c r="N116" s="103"/>
      <c r="O116" s="105"/>
      <c r="P116" s="106"/>
      <c r="Q116" s="104"/>
      <c r="R116" s="107"/>
      <c r="S116" s="167"/>
      <c r="T116" s="167"/>
      <c r="U116" s="166"/>
      <c r="V116" s="166"/>
      <c r="W116" s="166"/>
      <c r="X116" s="166"/>
      <c r="Y116" s="166"/>
      <c r="Z116" s="166"/>
      <c r="AA116" s="166"/>
      <c r="AB116" s="166"/>
      <c r="AC116" s="166"/>
      <c r="AD116" s="166"/>
      <c r="AE116" s="166"/>
      <c r="AF116" s="167"/>
      <c r="AG116" s="167"/>
      <c r="AH116" s="167"/>
      <c r="AI116" s="167"/>
      <c r="AJ116" s="167"/>
      <c r="AK116" s="167"/>
      <c r="AL116" s="167"/>
      <c r="AM116" s="167"/>
      <c r="AN116" s="167"/>
      <c r="AO116" s="167"/>
      <c r="AP116" s="167"/>
      <c r="AQ116" s="167"/>
      <c r="AR116" s="167"/>
      <c r="AS116" s="167"/>
      <c r="AT116" s="167"/>
      <c r="AU116" s="167"/>
      <c r="AV116" s="167"/>
      <c r="AW116" s="167"/>
      <c r="AX116" s="167"/>
      <c r="AY116" s="167"/>
      <c r="AZ116" s="167"/>
      <c r="BA116" s="167"/>
      <c r="BB116" s="167"/>
      <c r="BC116" s="167"/>
      <c r="BD116" s="167"/>
      <c r="BE116" s="167"/>
      <c r="BF116" s="167"/>
      <c r="BG116" s="167"/>
      <c r="BH116" s="167"/>
      <c r="BI116" s="167"/>
      <c r="BJ116" s="167"/>
      <c r="BK116" s="167"/>
      <c r="BL116" s="167"/>
      <c r="BM116" s="167"/>
      <c r="BN116" s="167"/>
      <c r="BO116" s="167"/>
      <c r="BP116" s="167"/>
      <c r="BQ116" s="167"/>
      <c r="BR116" s="167"/>
      <c r="BS116" s="167"/>
      <c r="BT116" s="167"/>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row>
    <row r="117" spans="1:257" ht="15.6" x14ac:dyDescent="0.3">
      <c r="A117" s="108" t="s">
        <v>150</v>
      </c>
      <c r="B117" s="109"/>
      <c r="C117" s="110"/>
      <c r="D117" s="110"/>
      <c r="E117" s="110"/>
      <c r="F117" s="110"/>
      <c r="G117" s="110"/>
      <c r="H117" s="110"/>
      <c r="I117" s="110"/>
      <c r="J117" s="110"/>
      <c r="K117" s="110"/>
      <c r="L117" s="111"/>
      <c r="M117" s="111"/>
      <c r="N117" s="553" t="e">
        <f>(B93+(L96*B94)-(B56*J97))/(L17)</f>
        <v>#DIV/0!</v>
      </c>
      <c r="O117" s="112" t="s">
        <v>68</v>
      </c>
      <c r="P117" s="113" t="str">
        <f>'Classement EA'!B53</f>
        <v>&lt;</v>
      </c>
      <c r="Q117" s="174" t="e">
        <f>'Classement EA'!C53</f>
        <v>#N/A</v>
      </c>
      <c r="R117" s="114" t="s">
        <v>68</v>
      </c>
      <c r="S117" s="167"/>
      <c r="T117" s="680" t="e">
        <f>'Classement EA'!D53</f>
        <v>#N/A</v>
      </c>
      <c r="U117" s="166"/>
      <c r="V117" s="166"/>
      <c r="W117" s="166"/>
      <c r="X117" s="166"/>
      <c r="Y117" s="166"/>
      <c r="Z117" s="166"/>
      <c r="AA117" s="166"/>
      <c r="AB117" s="166"/>
      <c r="AC117" s="166"/>
      <c r="AD117" s="166" t="e">
        <f>IF(N117&lt;=Q117,0,1)+IF(N117&lt;=T117,0,1)</f>
        <v>#DIV/0!</v>
      </c>
      <c r="AE117" s="685" t="e">
        <f>IF(AD117=1,AD117,0)+IF(AD117=2,AD117,0)</f>
        <v>#DIV/0!</v>
      </c>
      <c r="AF117" s="167"/>
      <c r="AG117" s="167" t="str">
        <f>A117</f>
        <v>Facture annuelle de carburant (€ /ha)</v>
      </c>
      <c r="AH117" s="167"/>
      <c r="AI117" s="167"/>
      <c r="AJ117" s="167"/>
      <c r="AK117" s="167">
        <v>0</v>
      </c>
      <c r="AL117" s="167">
        <v>1</v>
      </c>
      <c r="AM117" s="167">
        <v>2</v>
      </c>
      <c r="AN117" s="167"/>
      <c r="AO117" s="167">
        <v>0</v>
      </c>
      <c r="AP117" s="167">
        <v>1</v>
      </c>
      <c r="AQ117" s="167">
        <v>2</v>
      </c>
      <c r="AR117" s="167"/>
      <c r="AS117" s="167"/>
      <c r="AT117" s="167"/>
      <c r="AU117" s="167">
        <v>4</v>
      </c>
      <c r="AV117" s="167">
        <v>2</v>
      </c>
      <c r="AW117" s="167"/>
      <c r="AX117" s="676">
        <v>5</v>
      </c>
      <c r="AY117" s="167">
        <v>2</v>
      </c>
      <c r="AZ117" s="167"/>
      <c r="BA117" s="167">
        <v>2</v>
      </c>
      <c r="BB117" s="167">
        <v>1</v>
      </c>
      <c r="BC117" s="167"/>
      <c r="BD117" s="167"/>
      <c r="BE117" s="167"/>
      <c r="BF117" s="167"/>
      <c r="BG117" s="167"/>
      <c r="BH117" s="167"/>
      <c r="BI117" s="167"/>
      <c r="BJ117" s="167"/>
      <c r="BK117" s="167"/>
      <c r="BL117" s="167"/>
      <c r="BM117" s="167"/>
      <c r="BN117" s="167"/>
      <c r="BO117" s="167"/>
      <c r="BP117" s="167"/>
      <c r="BQ117" s="167"/>
      <c r="BR117" s="167"/>
      <c r="BS117" s="167"/>
      <c r="BT117" s="167"/>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row>
    <row r="118" spans="1:257" ht="8.1" customHeight="1" x14ac:dyDescent="0.3">
      <c r="A118" s="103"/>
      <c r="B118" s="103"/>
      <c r="C118" s="104"/>
      <c r="D118" s="104"/>
      <c r="E118" s="104"/>
      <c r="F118" s="104"/>
      <c r="G118" s="104"/>
      <c r="H118" s="104"/>
      <c r="I118" s="104"/>
      <c r="J118" s="104"/>
      <c r="K118" s="104"/>
      <c r="L118" s="104"/>
      <c r="M118" s="104"/>
      <c r="N118" s="103"/>
      <c r="O118" s="105"/>
      <c r="P118" s="106"/>
      <c r="Q118" s="104"/>
      <c r="R118" s="107"/>
      <c r="S118" s="167"/>
      <c r="T118" s="167"/>
      <c r="U118" s="166"/>
      <c r="V118" s="166"/>
      <c r="W118" s="166"/>
      <c r="X118" s="166"/>
      <c r="Y118" s="166"/>
      <c r="Z118" s="166"/>
      <c r="AA118" s="166"/>
      <c r="AB118" s="166"/>
      <c r="AC118" s="166"/>
      <c r="AD118" s="166"/>
      <c r="AE118" s="166"/>
      <c r="AF118" s="167"/>
      <c r="AG118" s="167"/>
      <c r="AH118" s="167"/>
      <c r="AI118" s="167"/>
      <c r="AJ118" s="167"/>
      <c r="AK118" s="167"/>
      <c r="AL118" s="167"/>
      <c r="AM118" s="167"/>
      <c r="AN118" s="167"/>
      <c r="AO118" s="167"/>
      <c r="AP118" s="167"/>
      <c r="AQ118" s="167"/>
      <c r="AR118" s="167"/>
      <c r="AS118" s="167"/>
      <c r="AT118" s="167"/>
      <c r="AU118" s="167"/>
      <c r="AV118" s="167"/>
      <c r="AW118" s="167"/>
      <c r="AX118" s="167"/>
      <c r="AY118" s="167"/>
      <c r="AZ118" s="167"/>
      <c r="BA118" s="167"/>
      <c r="BB118" s="167"/>
      <c r="BC118" s="167"/>
      <c r="BD118" s="167"/>
      <c r="BE118" s="167"/>
      <c r="BF118" s="167"/>
      <c r="BG118" s="167"/>
      <c r="BH118" s="167"/>
      <c r="BI118" s="167"/>
      <c r="BJ118" s="167"/>
      <c r="BK118" s="167"/>
      <c r="BL118" s="167"/>
      <c r="BM118" s="167"/>
      <c r="BN118" s="167"/>
      <c r="BO118" s="167"/>
      <c r="BP118" s="167"/>
      <c r="BQ118" s="167"/>
      <c r="BR118" s="167"/>
      <c r="BS118" s="167"/>
      <c r="BT118" s="167"/>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row>
    <row r="119" spans="1:257" x14ac:dyDescent="0.3">
      <c r="A119" s="26" t="s">
        <v>151</v>
      </c>
      <c r="B119" s="115">
        <f t="shared" ref="B119:K119" si="14">IF(B36&lt;&gt;0,B36,0)</f>
        <v>0</v>
      </c>
      <c r="C119" s="116">
        <f t="shared" si="14"/>
        <v>0</v>
      </c>
      <c r="D119" s="116">
        <f t="shared" si="14"/>
        <v>0</v>
      </c>
      <c r="E119" s="116">
        <f t="shared" si="14"/>
        <v>0</v>
      </c>
      <c r="F119" s="116">
        <f t="shared" si="14"/>
        <v>0</v>
      </c>
      <c r="G119" s="116">
        <f t="shared" si="14"/>
        <v>0</v>
      </c>
      <c r="H119" s="116">
        <f t="shared" si="14"/>
        <v>0</v>
      </c>
      <c r="I119" s="116">
        <f t="shared" si="14"/>
        <v>0</v>
      </c>
      <c r="J119" s="116">
        <f t="shared" si="14"/>
        <v>0</v>
      </c>
      <c r="K119" s="116">
        <f t="shared" si="14"/>
        <v>0</v>
      </c>
      <c r="L119" s="116">
        <f>B53</f>
        <v>0</v>
      </c>
      <c r="M119" s="3" t="s">
        <v>113</v>
      </c>
      <c r="N119" s="26"/>
      <c r="O119" s="96"/>
      <c r="P119" s="57"/>
      <c r="R119" s="34"/>
      <c r="S119" s="167"/>
      <c r="T119" s="167"/>
      <c r="U119" s="166"/>
      <c r="V119" s="166"/>
      <c r="W119" s="166"/>
      <c r="X119" s="166"/>
      <c r="Y119" s="166"/>
      <c r="Z119" s="166"/>
      <c r="AA119" s="166"/>
      <c r="AB119" s="166"/>
      <c r="AC119" s="166"/>
      <c r="AD119" s="166"/>
      <c r="AE119" s="166"/>
      <c r="AF119" s="167"/>
      <c r="AG119" s="167"/>
      <c r="AH119" s="167"/>
      <c r="AI119" s="167"/>
      <c r="AJ119" s="167"/>
      <c r="AK119" s="167"/>
      <c r="AL119" s="167"/>
      <c r="AM119" s="167"/>
      <c r="AN119" s="167"/>
      <c r="AO119" s="167"/>
      <c r="AP119" s="167"/>
      <c r="AQ119" s="167"/>
      <c r="AR119" s="167"/>
      <c r="AS119" s="167"/>
      <c r="AT119" s="167"/>
      <c r="AU119" s="167"/>
      <c r="AV119" s="167"/>
      <c r="AW119" s="167"/>
      <c r="AX119" s="167"/>
      <c r="AY119" s="167"/>
      <c r="AZ119" s="167"/>
      <c r="BA119" s="167"/>
      <c r="BB119" s="167"/>
      <c r="BC119" s="167"/>
      <c r="BD119" s="167"/>
      <c r="BE119" s="167"/>
      <c r="BF119" s="167"/>
      <c r="BG119" s="167"/>
      <c r="BH119" s="167"/>
      <c r="BI119" s="167"/>
      <c r="BJ119" s="167"/>
      <c r="BK119" s="167"/>
      <c r="BL119" s="167"/>
      <c r="BM119" s="167"/>
      <c r="BN119" s="167"/>
      <c r="BO119" s="167"/>
      <c r="BP119" s="167"/>
      <c r="BQ119" s="167"/>
      <c r="BR119" s="167"/>
      <c r="BS119" s="167"/>
      <c r="BT119" s="167"/>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row>
    <row r="120" spans="1:257" x14ac:dyDescent="0.3">
      <c r="A120" s="26" t="s">
        <v>152</v>
      </c>
      <c r="B120" s="117">
        <f t="shared" ref="B120:K120" si="15">IF(B40&lt;&gt;0,B40,0)</f>
        <v>0</v>
      </c>
      <c r="C120" s="118">
        <f t="shared" si="15"/>
        <v>0</v>
      </c>
      <c r="D120" s="118">
        <f t="shared" si="15"/>
        <v>0</v>
      </c>
      <c r="E120" s="118">
        <f t="shared" si="15"/>
        <v>0</v>
      </c>
      <c r="F120" s="118">
        <f t="shared" si="15"/>
        <v>0</v>
      </c>
      <c r="G120" s="118">
        <f t="shared" si="15"/>
        <v>0</v>
      </c>
      <c r="H120" s="118">
        <f t="shared" si="15"/>
        <v>0</v>
      </c>
      <c r="I120" s="118">
        <f t="shared" si="15"/>
        <v>0</v>
      </c>
      <c r="J120" s="118">
        <f t="shared" si="15"/>
        <v>0</v>
      </c>
      <c r="K120" s="118">
        <f t="shared" si="15"/>
        <v>0</v>
      </c>
      <c r="L120" s="118">
        <f>B54</f>
        <v>0</v>
      </c>
      <c r="M120" s="3" t="s">
        <v>110</v>
      </c>
      <c r="N120" s="26"/>
      <c r="O120" s="96"/>
      <c r="P120" s="26"/>
      <c r="R120" s="34"/>
      <c r="S120" s="167"/>
      <c r="T120" s="167"/>
      <c r="U120" s="166"/>
      <c r="V120" s="166"/>
      <c r="W120" s="166"/>
      <c r="X120" s="166"/>
      <c r="Y120" s="166"/>
      <c r="Z120" s="166"/>
      <c r="AA120" s="166"/>
      <c r="AB120" s="166"/>
      <c r="AC120" s="166"/>
      <c r="AD120" s="166"/>
      <c r="AE120" s="166"/>
      <c r="AF120" s="167"/>
      <c r="AG120" s="167"/>
      <c r="AH120" s="167"/>
      <c r="AI120" s="167"/>
      <c r="AJ120" s="167"/>
      <c r="AK120" s="167"/>
      <c r="AL120" s="167"/>
      <c r="AM120" s="167"/>
      <c r="AN120" s="167"/>
      <c r="AO120" s="167"/>
      <c r="AP120" s="167"/>
      <c r="AQ120" s="167"/>
      <c r="AR120" s="167"/>
      <c r="AS120" s="167"/>
      <c r="AT120" s="167"/>
      <c r="AU120" s="167"/>
      <c r="AV120" s="167"/>
      <c r="AW120" s="167"/>
      <c r="AX120" s="167"/>
      <c r="AY120" s="167"/>
      <c r="AZ120" s="167"/>
      <c r="BA120" s="167"/>
      <c r="BB120" s="167"/>
      <c r="BC120" s="167"/>
      <c r="BD120" s="167"/>
      <c r="BE120" s="167"/>
      <c r="BF120" s="167"/>
      <c r="BG120" s="167"/>
      <c r="BH120" s="167"/>
      <c r="BI120" s="167"/>
      <c r="BJ120" s="167"/>
      <c r="BK120" s="167"/>
      <c r="BL120" s="167"/>
      <c r="BM120" s="167"/>
      <c r="BN120" s="167"/>
      <c r="BO120" s="167"/>
      <c r="BP120" s="167"/>
      <c r="BQ120" s="167"/>
      <c r="BR120" s="167"/>
      <c r="BS120" s="167"/>
      <c r="BT120" s="167"/>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row>
    <row r="121" spans="1:257" x14ac:dyDescent="0.3">
      <c r="A121" s="64" t="s">
        <v>153</v>
      </c>
      <c r="B121" s="435">
        <f t="shared" ref="B121:I121" si="16">B$119*B$120*0.24*0.304</f>
        <v>0</v>
      </c>
      <c r="C121" s="160">
        <f t="shared" si="16"/>
        <v>0</v>
      </c>
      <c r="D121" s="160">
        <f t="shared" si="16"/>
        <v>0</v>
      </c>
      <c r="E121" s="160">
        <f t="shared" si="16"/>
        <v>0</v>
      </c>
      <c r="F121" s="160">
        <f t="shared" si="16"/>
        <v>0</v>
      </c>
      <c r="G121" s="160">
        <f t="shared" si="16"/>
        <v>0</v>
      </c>
      <c r="H121" s="160">
        <f t="shared" si="16"/>
        <v>0</v>
      </c>
      <c r="I121" s="160">
        <f t="shared" si="16"/>
        <v>0</v>
      </c>
      <c r="J121" s="160">
        <f>J$119*J$120*0.24*0.269</f>
        <v>0</v>
      </c>
      <c r="K121" s="160">
        <f>K$119*K$120*0.24*0.269</f>
        <v>0</v>
      </c>
      <c r="L121" s="160">
        <f>L$119*L$120*0.24*0.45</f>
        <v>0</v>
      </c>
      <c r="M121" s="92"/>
      <c r="N121" s="552" t="e">
        <f>N114-L96</f>
        <v>#DIV/0!</v>
      </c>
      <c r="O121" s="119" t="s">
        <v>78</v>
      </c>
      <c r="P121" s="68" t="s">
        <v>55</v>
      </c>
      <c r="Q121" s="120">
        <f>SUM($B121:$L121)</f>
        <v>0</v>
      </c>
      <c r="R121" s="46" t="s">
        <v>78</v>
      </c>
      <c r="S121" s="167"/>
      <c r="T121" s="673">
        <f>SUM($B122:$L122)</f>
        <v>0</v>
      </c>
      <c r="U121" s="166"/>
      <c r="V121" s="166"/>
      <c r="W121" s="166"/>
      <c r="X121" s="166"/>
      <c r="Y121" s="166"/>
      <c r="Z121" s="166"/>
      <c r="AA121" s="166"/>
      <c r="AB121" s="166"/>
      <c r="AC121" s="166"/>
      <c r="AD121" s="166" t="e">
        <f>IF(N121&gt;=Q121,0,1)+IF(N121&gt;=T121,0,1)</f>
        <v>#DIV/0!</v>
      </c>
      <c r="AE121" s="166" t="e">
        <f>IF(AD121=1,AD121,0)+IF(AD121=2,AD121,0)</f>
        <v>#DIV/0!</v>
      </c>
      <c r="AF121" s="167"/>
      <c r="AG121" s="167" t="str">
        <f>A121</f>
        <v>Utilisation de la puissance de traction (litres /an)</v>
      </c>
      <c r="AH121" s="167"/>
      <c r="AI121" s="167"/>
      <c r="AJ121" s="167"/>
      <c r="AK121" s="167">
        <v>0</v>
      </c>
      <c r="AL121" s="167">
        <v>1</v>
      </c>
      <c r="AM121" s="167">
        <v>2</v>
      </c>
      <c r="AN121" s="167"/>
      <c r="AO121" s="167">
        <v>0</v>
      </c>
      <c r="AP121" s="167">
        <v>1</v>
      </c>
      <c r="AQ121" s="167">
        <v>2</v>
      </c>
      <c r="AR121" s="167"/>
      <c r="AS121" s="167"/>
      <c r="AT121" s="167"/>
      <c r="AU121" s="167">
        <v>1</v>
      </c>
      <c r="AV121" s="167">
        <v>1</v>
      </c>
      <c r="AW121" s="167"/>
      <c r="AX121" s="167">
        <v>4</v>
      </c>
      <c r="AY121" s="167">
        <v>1</v>
      </c>
      <c r="AZ121" s="167"/>
      <c r="BA121" s="167">
        <v>2</v>
      </c>
      <c r="BB121" s="167">
        <v>1</v>
      </c>
      <c r="BC121" s="167"/>
      <c r="BD121" s="167"/>
      <c r="BE121" s="167"/>
      <c r="BF121" s="167"/>
      <c r="BG121" s="167"/>
      <c r="BH121" s="167"/>
      <c r="BI121" s="167"/>
      <c r="BJ121" s="167"/>
      <c r="BK121" s="167"/>
      <c r="BL121" s="167"/>
      <c r="BM121" s="167"/>
      <c r="BN121" s="167"/>
      <c r="BO121" s="167"/>
      <c r="BP121" s="167"/>
      <c r="BQ121" s="167"/>
      <c r="BR121" s="167"/>
      <c r="BS121" s="167"/>
      <c r="BT121" s="167"/>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row>
    <row r="122" spans="1:257" ht="8.1" customHeight="1" x14ac:dyDescent="0.3">
      <c r="A122" s="26"/>
      <c r="B122" s="435">
        <f t="shared" ref="B122:I122" si="17">B$119*B$120*0.24*0.331</f>
        <v>0</v>
      </c>
      <c r="C122" s="160">
        <f t="shared" si="17"/>
        <v>0</v>
      </c>
      <c r="D122" s="160">
        <f t="shared" si="17"/>
        <v>0</v>
      </c>
      <c r="E122" s="160">
        <f t="shared" si="17"/>
        <v>0</v>
      </c>
      <c r="F122" s="160">
        <f t="shared" si="17"/>
        <v>0</v>
      </c>
      <c r="G122" s="160">
        <f t="shared" si="17"/>
        <v>0</v>
      </c>
      <c r="H122" s="160">
        <f t="shared" si="17"/>
        <v>0</v>
      </c>
      <c r="I122" s="160">
        <f t="shared" si="17"/>
        <v>0</v>
      </c>
      <c r="J122" s="160">
        <f>J$119*J$120*0.24*0.304</f>
        <v>0</v>
      </c>
      <c r="K122" s="160">
        <f>K$119*K$120*0.24*0.304</f>
        <v>0</v>
      </c>
      <c r="L122" s="160">
        <f>L$119*L$120*0.24*0.5</f>
        <v>0</v>
      </c>
      <c r="M122" s="3"/>
      <c r="N122" s="26"/>
      <c r="O122" s="96"/>
      <c r="P122" s="57"/>
      <c r="R122" s="34"/>
      <c r="S122" s="167"/>
      <c r="T122" s="167"/>
      <c r="U122" s="166"/>
      <c r="V122" s="166"/>
      <c r="W122" s="166"/>
      <c r="X122" s="166"/>
      <c r="Y122" s="166"/>
      <c r="Z122" s="166"/>
      <c r="AA122" s="166"/>
      <c r="AB122" s="166"/>
      <c r="AC122" s="166"/>
      <c r="AD122" s="166"/>
      <c r="AE122" s="166"/>
      <c r="AF122" s="167"/>
      <c r="AG122" s="167"/>
      <c r="AH122" s="167"/>
      <c r="AI122" s="167"/>
      <c r="AJ122" s="167"/>
      <c r="AK122" s="167"/>
      <c r="AL122" s="167"/>
      <c r="AM122" s="167"/>
      <c r="AN122" s="167"/>
      <c r="AO122" s="167"/>
      <c r="AP122" s="167"/>
      <c r="AQ122" s="167"/>
      <c r="AR122" s="167"/>
      <c r="AS122" s="167"/>
      <c r="AT122" s="167"/>
      <c r="AU122" s="167"/>
      <c r="AV122" s="167"/>
      <c r="AW122" s="167"/>
      <c r="AX122" s="167"/>
      <c r="AY122" s="167"/>
      <c r="AZ122" s="167"/>
      <c r="BA122" s="167"/>
      <c r="BB122" s="167"/>
      <c r="BC122" s="167"/>
      <c r="BD122" s="167"/>
      <c r="BE122" s="167"/>
      <c r="BF122" s="167"/>
      <c r="BG122" s="167"/>
      <c r="BH122" s="167"/>
      <c r="BI122" s="167"/>
      <c r="BJ122" s="167"/>
      <c r="BK122" s="167"/>
      <c r="BL122" s="167"/>
      <c r="BM122" s="167"/>
      <c r="BN122" s="167"/>
      <c r="BO122" s="167"/>
      <c r="BP122" s="167"/>
      <c r="BQ122" s="167"/>
      <c r="BR122" s="167"/>
      <c r="BS122" s="167"/>
      <c r="BT122" s="167"/>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row>
    <row r="123" spans="1:257" ht="8.1" customHeight="1" x14ac:dyDescent="0.3">
      <c r="A123" s="12"/>
      <c r="B123" s="12"/>
      <c r="C123" s="16"/>
      <c r="D123" s="16"/>
      <c r="E123" s="16"/>
      <c r="F123" s="16"/>
      <c r="G123" s="16"/>
      <c r="H123" s="16"/>
      <c r="I123" s="16"/>
      <c r="J123" s="16"/>
      <c r="K123" s="16"/>
      <c r="L123" s="16"/>
      <c r="M123" s="16"/>
      <c r="N123" s="12"/>
      <c r="O123" s="121"/>
      <c r="P123" s="53"/>
      <c r="Q123" s="16"/>
      <c r="R123" s="122"/>
      <c r="S123" s="167"/>
      <c r="T123" s="167"/>
      <c r="U123" s="166"/>
      <c r="V123" s="166"/>
      <c r="W123" s="166"/>
      <c r="X123" s="166"/>
      <c r="Y123" s="166"/>
      <c r="Z123" s="166"/>
      <c r="AA123" s="166"/>
      <c r="AB123" s="166"/>
      <c r="AC123" s="166"/>
      <c r="AD123" s="166"/>
      <c r="AE123" s="166"/>
      <c r="AF123" s="167"/>
      <c r="AG123" s="167"/>
      <c r="AH123" s="167"/>
      <c r="AI123" s="167"/>
      <c r="AJ123" s="167"/>
      <c r="AK123" s="167"/>
      <c r="AL123" s="167"/>
      <c r="AM123" s="167"/>
      <c r="AN123" s="167"/>
      <c r="AO123" s="167"/>
      <c r="AP123" s="167"/>
      <c r="AQ123" s="167"/>
      <c r="AR123" s="167"/>
      <c r="AS123" s="167"/>
      <c r="AT123" s="167"/>
      <c r="AU123" s="167"/>
      <c r="AV123" s="167"/>
      <c r="AW123" s="167"/>
      <c r="AX123" s="167"/>
      <c r="AY123" s="167"/>
      <c r="AZ123" s="167"/>
      <c r="BA123" s="167"/>
      <c r="BB123" s="167"/>
      <c r="BC123" s="167"/>
      <c r="BD123" s="167"/>
      <c r="BE123" s="167"/>
      <c r="BF123" s="167"/>
      <c r="BG123" s="167"/>
      <c r="BH123" s="167"/>
      <c r="BI123" s="167"/>
      <c r="BJ123" s="167"/>
      <c r="BK123" s="167"/>
      <c r="BL123" s="167"/>
      <c r="BM123" s="167"/>
      <c r="BN123" s="167"/>
      <c r="BO123" s="167"/>
      <c r="BP123" s="167"/>
      <c r="BQ123" s="167"/>
      <c r="BR123" s="167"/>
      <c r="BS123" s="167"/>
      <c r="BT123" s="167"/>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row>
    <row r="124" spans="1:257" x14ac:dyDescent="0.3">
      <c r="A124" s="79" t="s">
        <v>154</v>
      </c>
      <c r="C124" s="27"/>
      <c r="D124" s="27"/>
      <c r="E124" s="27"/>
      <c r="F124" s="27"/>
      <c r="G124" s="27"/>
      <c r="H124" s="27"/>
      <c r="I124" s="27"/>
      <c r="J124" s="27"/>
      <c r="K124" s="27"/>
      <c r="L124" s="177"/>
      <c r="M124" s="28" t="s">
        <v>103</v>
      </c>
      <c r="N124" s="26"/>
      <c r="O124" s="22"/>
      <c r="P124" s="26"/>
      <c r="R124" s="70"/>
      <c r="S124" s="167"/>
      <c r="T124" s="167"/>
      <c r="U124" s="166"/>
      <c r="V124" s="166"/>
      <c r="W124" s="166"/>
      <c r="X124" s="166"/>
      <c r="Y124" s="166"/>
      <c r="Z124" s="166"/>
      <c r="AA124" s="166"/>
      <c r="AB124" s="166"/>
      <c r="AC124" s="166"/>
      <c r="AD124" s="166"/>
      <c r="AE124" s="166"/>
      <c r="AF124" s="167"/>
      <c r="AG124" s="167"/>
      <c r="AH124" s="167"/>
      <c r="AI124" s="167"/>
      <c r="AJ124" s="167"/>
      <c r="AK124" s="167"/>
      <c r="AL124" s="167"/>
      <c r="AM124" s="167"/>
      <c r="AN124" s="167"/>
      <c r="AO124" s="167"/>
      <c r="AP124" s="167"/>
      <c r="AQ124" s="167"/>
      <c r="AR124" s="167"/>
      <c r="AS124" s="167"/>
      <c r="AT124" s="167"/>
      <c r="AU124" s="167"/>
      <c r="AV124" s="167"/>
      <c r="AW124" s="167"/>
      <c r="AX124" s="167"/>
      <c r="AY124" s="167"/>
      <c r="AZ124" s="167"/>
      <c r="BA124" s="167"/>
      <c r="BB124" s="167"/>
      <c r="BC124" s="167"/>
      <c r="BD124" s="167"/>
      <c r="BE124" s="167"/>
      <c r="BF124" s="167"/>
      <c r="BG124" s="167"/>
      <c r="BH124" s="167"/>
      <c r="BI124" s="167"/>
      <c r="BJ124" s="167"/>
      <c r="BK124" s="167"/>
      <c r="BL124" s="167"/>
      <c r="BM124" s="167"/>
      <c r="BN124" s="167"/>
      <c r="BO124" s="167"/>
      <c r="BP124" s="167"/>
      <c r="BQ124" s="167"/>
      <c r="BR124" s="167"/>
      <c r="BS124" s="167"/>
      <c r="BT124" s="167"/>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row>
    <row r="125" spans="1:257" x14ac:dyDescent="0.3">
      <c r="A125" s="79" t="s">
        <v>155</v>
      </c>
      <c r="C125" s="27"/>
      <c r="D125" s="27"/>
      <c r="E125" s="27"/>
      <c r="F125" s="27"/>
      <c r="G125" s="27"/>
      <c r="H125" s="27"/>
      <c r="I125" s="27"/>
      <c r="J125" s="27"/>
      <c r="K125" s="27"/>
      <c r="L125" s="177"/>
      <c r="M125" s="28" t="s">
        <v>103</v>
      </c>
      <c r="N125" s="30" t="e">
        <f>((L125/3))/L17</f>
        <v>#DIV/0!</v>
      </c>
      <c r="O125" s="67" t="s">
        <v>68</v>
      </c>
      <c r="P125" s="68"/>
      <c r="Q125" s="123"/>
      <c r="R125" s="70"/>
      <c r="S125" s="167"/>
      <c r="T125" s="167"/>
      <c r="U125" s="166"/>
      <c r="V125" s="166"/>
      <c r="W125" s="166"/>
      <c r="X125" s="166"/>
      <c r="Y125" s="166"/>
      <c r="Z125" s="166"/>
      <c r="AA125" s="166"/>
      <c r="AB125" s="166"/>
      <c r="AC125" s="166"/>
      <c r="AD125" s="166"/>
      <c r="AE125" s="166"/>
      <c r="AF125" s="167"/>
      <c r="AG125" s="167"/>
      <c r="AH125" s="167"/>
      <c r="AI125" s="167"/>
      <c r="AJ125" s="167"/>
      <c r="AK125" s="167"/>
      <c r="AL125" s="167"/>
      <c r="AM125" s="167"/>
      <c r="AN125" s="167"/>
      <c r="AO125" s="167"/>
      <c r="AP125" s="167"/>
      <c r="AQ125" s="167"/>
      <c r="AR125" s="167">
        <f>SUM(AQ125:AQ127)</f>
        <v>6</v>
      </c>
      <c r="AS125" s="671">
        <f>AR125/AR$139</f>
        <v>0.125</v>
      </c>
      <c r="AT125" s="167"/>
      <c r="AU125" s="167"/>
      <c r="AV125" s="167"/>
      <c r="AW125" s="167"/>
      <c r="AX125" s="167"/>
      <c r="AY125" s="167"/>
      <c r="AZ125" s="167"/>
      <c r="BA125" s="167"/>
      <c r="BB125" s="167"/>
      <c r="BC125" s="167"/>
      <c r="BD125" s="167"/>
      <c r="BE125" s="167"/>
      <c r="BF125" s="167"/>
      <c r="BG125" s="167"/>
      <c r="BH125" s="167"/>
      <c r="BI125" s="167"/>
      <c r="BJ125" s="167"/>
      <c r="BK125" s="167"/>
      <c r="BL125" s="167"/>
      <c r="BM125" s="167"/>
      <c r="BN125" s="167"/>
      <c r="BO125" s="167"/>
      <c r="BP125" s="167"/>
      <c r="BQ125" s="167"/>
      <c r="BR125" s="167"/>
      <c r="BS125" s="167"/>
      <c r="BT125" s="167"/>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row>
    <row r="126" spans="1:257" x14ac:dyDescent="0.3">
      <c r="A126" s="81" t="s">
        <v>156</v>
      </c>
      <c r="C126" s="27"/>
      <c r="D126" s="27"/>
      <c r="E126" s="27"/>
      <c r="F126" s="27"/>
      <c r="G126" s="27"/>
      <c r="H126" s="27"/>
      <c r="I126" s="27"/>
      <c r="J126" s="27"/>
      <c r="K126" s="27"/>
      <c r="L126" s="27"/>
      <c r="M126" s="28"/>
      <c r="N126" s="551" t="e">
        <f>(L124/L17)+N125</f>
        <v>#DIV/0!</v>
      </c>
      <c r="O126" s="67" t="s">
        <v>68</v>
      </c>
      <c r="P126" s="68" t="str">
        <f>'Classement EA'!B65</f>
        <v>&lt;</v>
      </c>
      <c r="Q126" s="175" t="e">
        <f>'Classement EA'!C65</f>
        <v>#N/A</v>
      </c>
      <c r="R126" s="70" t="s">
        <v>68</v>
      </c>
      <c r="S126" s="167"/>
      <c r="T126" s="167" t="e">
        <f>'Classement EA'!D65</f>
        <v>#N/A</v>
      </c>
      <c r="U126" s="166"/>
      <c r="V126" s="166"/>
      <c r="W126" s="166"/>
      <c r="X126" s="166"/>
      <c r="Y126" s="166"/>
      <c r="Z126" s="166"/>
      <c r="AA126" s="166"/>
      <c r="AB126" s="166"/>
      <c r="AC126" s="166"/>
      <c r="AD126" s="166" t="e">
        <f>IF(N126&lt;=Q126,0,1)+IF(N126&lt;=T126,0,1)</f>
        <v>#DIV/0!</v>
      </c>
      <c r="AE126" s="684" t="e">
        <f>IF(AD126=1,AD126+1,0)+IF(AD126=2,AD126+4,0)</f>
        <v>#DIV/0!</v>
      </c>
      <c r="AF126" s="167"/>
      <c r="AG126" s="676" t="str">
        <f>A126</f>
        <v>Frais d'Entretien-Réparations (€ /an)</v>
      </c>
      <c r="AH126" s="167"/>
      <c r="AI126" s="167"/>
      <c r="AJ126" s="167"/>
      <c r="AK126" s="167">
        <v>0</v>
      </c>
      <c r="AL126" s="167">
        <v>1</v>
      </c>
      <c r="AM126" s="167">
        <v>2</v>
      </c>
      <c r="AN126" s="167"/>
      <c r="AO126" s="167">
        <v>0</v>
      </c>
      <c r="AP126" s="167">
        <v>2</v>
      </c>
      <c r="AQ126" s="167">
        <v>6</v>
      </c>
      <c r="AR126" s="167"/>
      <c r="AS126" s="167"/>
      <c r="AT126" s="167"/>
      <c r="AU126" s="167">
        <v>2</v>
      </c>
      <c r="AV126" s="167">
        <v>1</v>
      </c>
      <c r="AW126" s="167"/>
      <c r="AX126" s="167">
        <v>5</v>
      </c>
      <c r="AY126" s="167">
        <v>2</v>
      </c>
      <c r="AZ126" s="167"/>
      <c r="BA126" s="167">
        <v>2</v>
      </c>
      <c r="BB126" s="167">
        <v>1</v>
      </c>
      <c r="BC126" s="167"/>
      <c r="BD126" s="167"/>
      <c r="BE126" s="167"/>
      <c r="BF126" s="167"/>
      <c r="BG126" s="167"/>
      <c r="BH126" s="167"/>
      <c r="BI126" s="167"/>
      <c r="BJ126" s="167"/>
      <c r="BK126" s="167"/>
      <c r="BL126" s="167"/>
      <c r="BM126" s="167"/>
      <c r="BN126" s="167"/>
      <c r="BO126" s="167"/>
      <c r="BP126" s="167"/>
      <c r="BQ126" s="167"/>
      <c r="BR126" s="167"/>
      <c r="BS126" s="167"/>
      <c r="BT126" s="167"/>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row>
    <row r="127" spans="1:257" ht="8.1" customHeight="1" x14ac:dyDescent="0.3">
      <c r="A127" s="124"/>
      <c r="B127" s="48"/>
      <c r="C127" s="37"/>
      <c r="D127" s="37"/>
      <c r="E127" s="37"/>
      <c r="F127" s="37"/>
      <c r="G127" s="37"/>
      <c r="H127" s="37"/>
      <c r="I127" s="37"/>
      <c r="J127" s="37"/>
      <c r="K127" s="37"/>
      <c r="L127" s="37"/>
      <c r="M127" s="37"/>
      <c r="N127" s="48"/>
      <c r="O127" s="125"/>
      <c r="P127" s="57"/>
      <c r="R127" s="34"/>
      <c r="S127" s="167"/>
      <c r="T127" s="167"/>
      <c r="U127" s="166"/>
      <c r="V127" s="166"/>
      <c r="W127" s="166"/>
      <c r="X127" s="166"/>
      <c r="Y127" s="166"/>
      <c r="Z127" s="166"/>
      <c r="AA127" s="166"/>
      <c r="AB127" s="166"/>
      <c r="AC127" s="166"/>
      <c r="AD127" s="166"/>
      <c r="AE127" s="166"/>
      <c r="AF127" s="167"/>
      <c r="AG127" s="167"/>
      <c r="AH127" s="167"/>
      <c r="AI127" s="167"/>
      <c r="AJ127" s="167"/>
      <c r="AK127" s="167"/>
      <c r="AL127" s="167"/>
      <c r="AM127" s="167"/>
      <c r="AN127" s="167"/>
      <c r="AO127" s="167"/>
      <c r="AP127" s="167"/>
      <c r="AQ127" s="167"/>
      <c r="AR127" s="167"/>
      <c r="AS127" s="167"/>
      <c r="AT127" s="167"/>
      <c r="AU127" s="167"/>
      <c r="AV127" s="167"/>
      <c r="AW127" s="167"/>
      <c r="AX127" s="167"/>
      <c r="AY127" s="167"/>
      <c r="AZ127" s="167"/>
      <c r="BA127" s="167"/>
      <c r="BB127" s="167"/>
      <c r="BC127" s="167"/>
      <c r="BD127" s="167"/>
      <c r="BE127" s="167"/>
      <c r="BF127" s="167"/>
      <c r="BG127" s="167"/>
      <c r="BH127" s="167"/>
      <c r="BI127" s="167"/>
      <c r="BJ127" s="167"/>
      <c r="BK127" s="167"/>
      <c r="BL127" s="167"/>
      <c r="BM127" s="167"/>
      <c r="BN127" s="167"/>
      <c r="BO127" s="167"/>
      <c r="BP127" s="167"/>
      <c r="BQ127" s="167"/>
      <c r="BR127" s="167"/>
      <c r="BS127" s="167"/>
      <c r="BT127" s="167"/>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row>
    <row r="128" spans="1:257" ht="8.1" customHeight="1" x14ac:dyDescent="0.3">
      <c r="A128" s="12"/>
      <c r="B128" s="12"/>
      <c r="C128" s="16"/>
      <c r="D128" s="16"/>
      <c r="E128" s="16"/>
      <c r="F128" s="16"/>
      <c r="G128" s="16"/>
      <c r="H128" s="16"/>
      <c r="I128" s="16"/>
      <c r="J128" s="16"/>
      <c r="K128" s="16"/>
      <c r="L128" s="16"/>
      <c r="M128" s="16"/>
      <c r="N128" s="12"/>
      <c r="O128" s="121"/>
      <c r="P128" s="53"/>
      <c r="Q128" s="16"/>
      <c r="R128" s="122"/>
      <c r="S128" s="167"/>
      <c r="T128" s="167"/>
      <c r="U128" s="166"/>
      <c r="V128" s="166"/>
      <c r="W128" s="166"/>
      <c r="X128" s="166"/>
      <c r="Y128" s="166"/>
      <c r="Z128" s="166"/>
      <c r="AA128" s="166"/>
      <c r="AB128" s="166"/>
      <c r="AC128" s="166"/>
      <c r="AD128" s="166"/>
      <c r="AE128" s="166"/>
      <c r="AF128" s="167"/>
      <c r="AG128" s="167"/>
      <c r="AH128" s="167"/>
      <c r="AI128" s="167"/>
      <c r="AJ128" s="167"/>
      <c r="AK128" s="167"/>
      <c r="AL128" s="167"/>
      <c r="AM128" s="167"/>
      <c r="AN128" s="167"/>
      <c r="AO128" s="167"/>
      <c r="AP128" s="167"/>
      <c r="AQ128" s="167"/>
      <c r="AR128" s="167"/>
      <c r="AS128" s="167"/>
      <c r="AT128" s="167"/>
      <c r="AU128" s="167"/>
      <c r="AV128" s="167"/>
      <c r="AW128" s="167"/>
      <c r="AX128" s="167"/>
      <c r="AY128" s="167"/>
      <c r="AZ128" s="167"/>
      <c r="BA128" s="167"/>
      <c r="BB128" s="167"/>
      <c r="BC128" s="167"/>
      <c r="BD128" s="167"/>
      <c r="BE128" s="167"/>
      <c r="BF128" s="167"/>
      <c r="BG128" s="167"/>
      <c r="BH128" s="167"/>
      <c r="BI128" s="167"/>
      <c r="BJ128" s="167"/>
      <c r="BK128" s="167"/>
      <c r="BL128" s="167"/>
      <c r="BM128" s="167"/>
      <c r="BN128" s="167"/>
      <c r="BO128" s="167"/>
      <c r="BP128" s="167"/>
      <c r="BQ128" s="167"/>
      <c r="BR128" s="167"/>
      <c r="BS128" s="167"/>
      <c r="BT128" s="167"/>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row>
    <row r="129" spans="1:257" x14ac:dyDescent="0.3">
      <c r="A129" s="26" t="s">
        <v>354</v>
      </c>
      <c r="B129" s="197"/>
      <c r="C129" s="28" t="s">
        <v>157</v>
      </c>
      <c r="D129" s="28"/>
      <c r="E129" s="28"/>
      <c r="F129" s="28"/>
      <c r="G129" s="28"/>
      <c r="H129" s="28"/>
      <c r="I129" s="28"/>
      <c r="J129" s="28"/>
      <c r="K129" s="28"/>
      <c r="L129" s="28"/>
      <c r="M129" s="28"/>
      <c r="N129" s="26"/>
      <c r="O129" s="22"/>
      <c r="P129" s="57"/>
      <c r="R129" s="34"/>
      <c r="S129" s="167"/>
      <c r="T129" s="167"/>
      <c r="U129" s="166"/>
      <c r="V129" s="166"/>
      <c r="W129" s="166"/>
      <c r="X129" s="166"/>
      <c r="Y129" s="166"/>
      <c r="Z129" s="166"/>
      <c r="AA129" s="166"/>
      <c r="AB129" s="166"/>
      <c r="AC129" s="166"/>
      <c r="AD129" s="166"/>
      <c r="AE129" s="166"/>
      <c r="AF129" s="167"/>
      <c r="AG129" s="167"/>
      <c r="AH129" s="167"/>
      <c r="AI129" s="167"/>
      <c r="AJ129" s="167"/>
      <c r="AK129" s="167"/>
      <c r="AL129" s="167"/>
      <c r="AM129" s="167"/>
      <c r="AN129" s="167"/>
      <c r="AO129" s="167"/>
      <c r="AP129" s="167"/>
      <c r="AQ129" s="167"/>
      <c r="AR129" s="167"/>
      <c r="AS129" s="167"/>
      <c r="AT129" s="167"/>
      <c r="AU129" s="167"/>
      <c r="AV129" s="167"/>
      <c r="AW129" s="167"/>
      <c r="AX129" s="167"/>
      <c r="AY129" s="167"/>
      <c r="AZ129" s="167"/>
      <c r="BA129" s="167"/>
      <c r="BB129" s="167"/>
      <c r="BC129" s="167"/>
      <c r="BD129" s="167"/>
      <c r="BE129" s="167"/>
      <c r="BF129" s="167"/>
      <c r="BG129" s="167"/>
      <c r="BH129" s="167"/>
      <c r="BI129" s="167"/>
      <c r="BJ129" s="167"/>
      <c r="BK129" s="167"/>
      <c r="BL129" s="167"/>
      <c r="BM129" s="167"/>
      <c r="BN129" s="167"/>
      <c r="BO129" s="167"/>
      <c r="BP129" s="167"/>
      <c r="BQ129" s="167"/>
      <c r="BR129" s="167"/>
      <c r="BS129" s="167"/>
      <c r="BT129" s="167"/>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c r="IT129" s="2"/>
      <c r="IU129" s="2"/>
      <c r="IV129" s="2"/>
      <c r="IW129" s="2"/>
    </row>
    <row r="130" spans="1:257" x14ac:dyDescent="0.3">
      <c r="A130" s="26" t="s">
        <v>355</v>
      </c>
      <c r="B130" s="191"/>
      <c r="C130" s="28" t="s">
        <v>357</v>
      </c>
      <c r="D130" s="28"/>
      <c r="E130" s="28"/>
      <c r="F130" s="28"/>
      <c r="G130" s="28"/>
      <c r="H130" s="28"/>
      <c r="I130" s="28"/>
      <c r="J130" s="28"/>
      <c r="K130" s="28"/>
      <c r="L130" s="28"/>
      <c r="M130" s="28"/>
      <c r="N130" s="26"/>
      <c r="O130" s="22"/>
      <c r="P130" s="26"/>
      <c r="R130" s="34"/>
      <c r="S130" s="167"/>
      <c r="T130" s="167"/>
      <c r="U130" s="166"/>
      <c r="V130" s="166"/>
      <c r="W130" s="166"/>
      <c r="X130" s="166"/>
      <c r="Y130" s="166"/>
      <c r="Z130" s="166"/>
      <c r="AA130" s="166"/>
      <c r="AB130" s="166"/>
      <c r="AC130" s="166"/>
      <c r="AD130" s="166"/>
      <c r="AE130" s="166"/>
      <c r="AF130" s="167"/>
      <c r="AG130" s="167"/>
      <c r="AH130" s="167"/>
      <c r="AI130" s="167"/>
      <c r="AJ130" s="167"/>
      <c r="AK130" s="167"/>
      <c r="AL130" s="167"/>
      <c r="AM130" s="167"/>
      <c r="AN130" s="167"/>
      <c r="AO130" s="167"/>
      <c r="AP130" s="167"/>
      <c r="AQ130" s="167"/>
      <c r="AR130" s="167">
        <f>SUM(AQ130:AQ132)</f>
        <v>6</v>
      </c>
      <c r="AS130" s="671">
        <f>AR130/AR$139</f>
        <v>0.125</v>
      </c>
      <c r="AT130" s="167"/>
      <c r="AU130" s="167"/>
      <c r="AV130" s="167"/>
      <c r="AW130" s="167"/>
      <c r="AX130" s="167"/>
      <c r="AY130" s="167"/>
      <c r="AZ130" s="167"/>
      <c r="BA130" s="167"/>
      <c r="BB130" s="167"/>
      <c r="BC130" s="167"/>
      <c r="BD130" s="167"/>
      <c r="BE130" s="167"/>
      <c r="BF130" s="167"/>
      <c r="BG130" s="167"/>
      <c r="BH130" s="167"/>
      <c r="BI130" s="167"/>
      <c r="BJ130" s="167"/>
      <c r="BK130" s="167"/>
      <c r="BL130" s="167"/>
      <c r="BM130" s="167"/>
      <c r="BN130" s="167"/>
      <c r="BO130" s="167"/>
      <c r="BP130" s="167"/>
      <c r="BQ130" s="167"/>
      <c r="BR130" s="167"/>
      <c r="BS130" s="167"/>
      <c r="BT130" s="167"/>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c r="II130" s="2"/>
      <c r="IJ130" s="2"/>
      <c r="IK130" s="2"/>
      <c r="IL130" s="2"/>
      <c r="IM130" s="2"/>
      <c r="IN130" s="2"/>
      <c r="IO130" s="2"/>
      <c r="IP130" s="2"/>
      <c r="IQ130" s="2"/>
      <c r="IR130" s="2"/>
      <c r="IS130" s="2"/>
      <c r="IT130" s="2"/>
      <c r="IU130" s="2"/>
      <c r="IV130" s="2"/>
      <c r="IW130" s="2"/>
    </row>
    <row r="131" spans="1:257" x14ac:dyDescent="0.3">
      <c r="A131" s="64" t="s">
        <v>356</v>
      </c>
      <c r="B131" s="126"/>
      <c r="C131" s="28"/>
      <c r="D131" s="28"/>
      <c r="E131" s="28"/>
      <c r="F131" s="28"/>
      <c r="G131" s="28"/>
      <c r="H131" s="28"/>
      <c r="I131" s="28"/>
      <c r="J131" s="28"/>
      <c r="K131" s="28"/>
      <c r="L131" s="28"/>
      <c r="M131" s="28"/>
      <c r="N131" s="550" t="e">
        <f>(B130/3)/L17</f>
        <v>#DIV/0!</v>
      </c>
      <c r="O131" s="127" t="s">
        <v>358</v>
      </c>
      <c r="P131" s="128" t="str">
        <f>'Classement EA'!B71</f>
        <v>&lt;</v>
      </c>
      <c r="Q131" s="173" t="e">
        <f>'Classement EA'!C71</f>
        <v>#N/A</v>
      </c>
      <c r="R131" s="70" t="s">
        <v>358</v>
      </c>
      <c r="S131" s="167"/>
      <c r="T131" s="167" t="e">
        <f>'Classement EA'!D71</f>
        <v>#N/A</v>
      </c>
      <c r="U131" s="166"/>
      <c r="V131" s="166"/>
      <c r="W131" s="166"/>
      <c r="X131" s="166"/>
      <c r="Y131" s="166"/>
      <c r="Z131" s="166"/>
      <c r="AA131" s="166"/>
      <c r="AB131" s="166"/>
      <c r="AC131" s="166"/>
      <c r="AD131" s="166" t="e">
        <f>IF(N131&lt;=Q131,0,1)+IF(N131&lt;=T131,0,1)</f>
        <v>#DIV/0!</v>
      </c>
      <c r="AE131" s="684" t="e">
        <f>IF(AD131=1,AD131+1,0)+IF(AD131=2,AD131+4,0)</f>
        <v>#DIV/0!</v>
      </c>
      <c r="AF131" s="166"/>
      <c r="AG131" s="684" t="str">
        <f>A131</f>
        <v>Investissement moyen sur les 3 dernières années</v>
      </c>
      <c r="AH131" s="166"/>
      <c r="AI131" s="166"/>
      <c r="AJ131" s="166"/>
      <c r="AK131" s="167">
        <v>0</v>
      </c>
      <c r="AL131" s="167">
        <v>1</v>
      </c>
      <c r="AM131" s="167">
        <v>2</v>
      </c>
      <c r="AN131" s="166"/>
      <c r="AO131" s="167">
        <v>0</v>
      </c>
      <c r="AP131" s="167">
        <v>1</v>
      </c>
      <c r="AQ131" s="167">
        <v>6</v>
      </c>
      <c r="AR131" s="167"/>
      <c r="AS131" s="167"/>
      <c r="AT131" s="167"/>
      <c r="AU131" s="166">
        <v>1</v>
      </c>
      <c r="AV131" s="166">
        <v>1</v>
      </c>
      <c r="AW131" s="166"/>
      <c r="AX131" s="166">
        <v>4</v>
      </c>
      <c r="AY131" s="166">
        <v>1</v>
      </c>
      <c r="AZ131" s="166"/>
      <c r="BA131" s="166">
        <v>2</v>
      </c>
      <c r="BB131" s="166">
        <v>1</v>
      </c>
      <c r="BC131" s="167"/>
      <c r="BD131" s="167"/>
      <c r="BE131" s="167"/>
      <c r="BF131" s="167"/>
      <c r="BG131" s="167"/>
      <c r="BH131" s="167"/>
      <c r="BI131" s="167"/>
      <c r="BJ131" s="167"/>
      <c r="BK131" s="167"/>
      <c r="BL131" s="167"/>
      <c r="BM131" s="167"/>
      <c r="BN131" s="167"/>
      <c r="BO131" s="167"/>
      <c r="BP131" s="167"/>
      <c r="BQ131" s="167"/>
      <c r="BR131" s="167"/>
      <c r="BS131" s="167"/>
      <c r="BT131" s="167"/>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c r="IK131" s="2"/>
      <c r="IL131" s="2"/>
      <c r="IM131" s="2"/>
      <c r="IN131" s="2"/>
      <c r="IO131" s="2"/>
      <c r="IP131" s="2"/>
      <c r="IQ131" s="2"/>
      <c r="IR131" s="2"/>
      <c r="IS131" s="2"/>
      <c r="IT131" s="2"/>
      <c r="IU131" s="2"/>
      <c r="IV131" s="2"/>
      <c r="IW131" s="2"/>
    </row>
    <row r="132" spans="1:257" ht="8.1" customHeight="1" x14ac:dyDescent="0.3">
      <c r="A132" s="48"/>
      <c r="B132" s="48"/>
      <c r="C132" s="37"/>
      <c r="D132" s="37"/>
      <c r="E132" s="37"/>
      <c r="F132" s="37"/>
      <c r="G132" s="37"/>
      <c r="H132" s="37"/>
      <c r="I132" s="37"/>
      <c r="J132" s="37"/>
      <c r="K132" s="37"/>
      <c r="L132" s="37"/>
      <c r="M132" s="37"/>
      <c r="N132" s="48"/>
      <c r="O132" s="125"/>
      <c r="P132" s="129"/>
      <c r="Q132" s="37"/>
      <c r="R132" s="130"/>
      <c r="S132" s="167"/>
      <c r="T132" s="167"/>
      <c r="U132" s="166"/>
      <c r="V132" s="166"/>
      <c r="W132" s="166"/>
      <c r="X132" s="166"/>
      <c r="Y132" s="166"/>
      <c r="Z132" s="166"/>
      <c r="AA132" s="166"/>
      <c r="AB132" s="166"/>
      <c r="AC132" s="166"/>
      <c r="AD132" s="166"/>
      <c r="AE132" s="166"/>
      <c r="AF132" s="166"/>
      <c r="AG132" s="166"/>
      <c r="AH132" s="166"/>
      <c r="AI132" s="166"/>
      <c r="AJ132" s="166"/>
      <c r="AK132" s="166"/>
      <c r="AL132" s="166"/>
      <c r="AM132" s="166"/>
      <c r="AN132" s="166"/>
      <c r="AO132" s="166"/>
      <c r="AP132" s="166"/>
      <c r="AQ132" s="166"/>
      <c r="AR132" s="166"/>
      <c r="AS132" s="166"/>
      <c r="AT132" s="166"/>
      <c r="AU132" s="166"/>
      <c r="AV132" s="166"/>
      <c r="AW132" s="166"/>
      <c r="AX132" s="166"/>
      <c r="AY132" s="166"/>
      <c r="AZ132" s="166"/>
      <c r="BA132" s="166"/>
      <c r="BB132" s="166"/>
      <c r="BC132" s="167"/>
      <c r="BD132" s="167"/>
      <c r="BE132" s="167"/>
      <c r="BF132" s="167"/>
      <c r="BG132" s="167"/>
      <c r="BH132" s="167"/>
      <c r="BI132" s="167"/>
      <c r="BJ132" s="167"/>
      <c r="BK132" s="167"/>
      <c r="BL132" s="167"/>
      <c r="BM132" s="167"/>
      <c r="BN132" s="167"/>
      <c r="BO132" s="167"/>
      <c r="BP132" s="167"/>
      <c r="BQ132" s="167"/>
      <c r="BR132" s="167"/>
      <c r="BS132" s="167"/>
      <c r="BT132" s="167"/>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c r="IK132" s="2"/>
      <c r="IL132" s="2"/>
      <c r="IM132" s="2"/>
      <c r="IN132" s="2"/>
      <c r="IO132" s="2"/>
      <c r="IP132" s="2"/>
      <c r="IQ132" s="2"/>
      <c r="IR132" s="2"/>
      <c r="IS132" s="2"/>
      <c r="IT132" s="2"/>
      <c r="IU132" s="2"/>
      <c r="IV132" s="2"/>
      <c r="IW132" s="2"/>
    </row>
    <row r="133" spans="1:257" ht="8.1" customHeight="1" x14ac:dyDescent="0.3">
      <c r="A133" s="12"/>
      <c r="B133" s="12"/>
      <c r="C133" s="16"/>
      <c r="D133" s="16"/>
      <c r="E133" s="16"/>
      <c r="F133" s="16"/>
      <c r="G133" s="16"/>
      <c r="H133" s="16"/>
      <c r="I133" s="16"/>
      <c r="J133" s="16"/>
      <c r="K133" s="16"/>
      <c r="L133" s="16"/>
      <c r="M133" s="16"/>
      <c r="N133" s="12"/>
      <c r="O133" s="121"/>
      <c r="P133" s="53"/>
      <c r="Q133" s="16"/>
      <c r="R133" s="122"/>
      <c r="S133" s="167"/>
      <c r="T133" s="167"/>
      <c r="U133" s="166"/>
      <c r="V133" s="166"/>
      <c r="W133" s="166"/>
      <c r="X133" s="166"/>
      <c r="Y133" s="166"/>
      <c r="Z133" s="166"/>
      <c r="AA133" s="166"/>
      <c r="AB133" s="166"/>
      <c r="AC133" s="166"/>
      <c r="AD133" s="166"/>
      <c r="AE133" s="166"/>
      <c r="AF133" s="166"/>
      <c r="AG133" s="166"/>
      <c r="AH133" s="166"/>
      <c r="AI133" s="166"/>
      <c r="AJ133" s="166"/>
      <c r="AK133" s="166"/>
      <c r="AL133" s="166"/>
      <c r="AM133" s="166"/>
      <c r="AN133" s="166"/>
      <c r="AO133" s="166"/>
      <c r="AP133" s="166"/>
      <c r="AQ133" s="166"/>
      <c r="AR133" s="166"/>
      <c r="AS133" s="166"/>
      <c r="AT133" s="166"/>
      <c r="AU133" s="166"/>
      <c r="AV133" s="166"/>
      <c r="AW133" s="166"/>
      <c r="AX133" s="166"/>
      <c r="AY133" s="166"/>
      <c r="AZ133" s="166"/>
      <c r="BA133" s="166"/>
      <c r="BB133" s="166"/>
      <c r="BC133" s="167"/>
      <c r="BD133" s="167"/>
      <c r="BE133" s="167"/>
      <c r="BF133" s="167"/>
      <c r="BG133" s="167"/>
      <c r="BH133" s="167"/>
      <c r="BI133" s="167"/>
      <c r="BJ133" s="167"/>
      <c r="BK133" s="167"/>
      <c r="BL133" s="167"/>
      <c r="BM133" s="167"/>
      <c r="BN133" s="167"/>
      <c r="BO133" s="167"/>
      <c r="BP133" s="167"/>
      <c r="BQ133" s="167"/>
      <c r="BR133" s="167"/>
      <c r="BS133" s="167"/>
      <c r="BT133" s="167"/>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c r="IR133" s="2"/>
      <c r="IS133" s="2"/>
      <c r="IT133" s="2"/>
      <c r="IU133" s="2"/>
      <c r="IV133" s="2"/>
      <c r="IW133" s="2"/>
    </row>
    <row r="134" spans="1:257" x14ac:dyDescent="0.3">
      <c r="A134" s="26" t="s">
        <v>86</v>
      </c>
      <c r="B134" s="26"/>
      <c r="C134" s="41"/>
      <c r="D134" s="41"/>
      <c r="E134" s="41"/>
      <c r="F134" s="41"/>
      <c r="G134" s="41"/>
      <c r="H134" s="41"/>
      <c r="I134" s="41"/>
      <c r="J134" s="41"/>
      <c r="K134" s="41"/>
      <c r="L134" s="177"/>
      <c r="M134" s="131" t="s">
        <v>158</v>
      </c>
      <c r="N134" s="26"/>
      <c r="O134" s="22"/>
      <c r="P134" s="57"/>
      <c r="R134" s="34"/>
      <c r="S134" s="167"/>
      <c r="T134" s="167"/>
      <c r="U134" s="166"/>
      <c r="V134" s="166"/>
      <c r="W134" s="166"/>
      <c r="X134" s="166"/>
      <c r="Y134" s="166"/>
      <c r="Z134" s="166"/>
      <c r="AA134" s="166"/>
      <c r="AB134" s="166"/>
      <c r="AC134" s="166"/>
      <c r="AD134" s="166"/>
      <c r="AE134" s="166"/>
      <c r="AF134" s="166"/>
      <c r="AG134" s="166"/>
      <c r="AH134" s="166"/>
      <c r="AI134" s="166"/>
      <c r="AJ134" s="166"/>
      <c r="AK134" s="166"/>
      <c r="AL134" s="166"/>
      <c r="AM134" s="166"/>
      <c r="AN134" s="166"/>
      <c r="AO134" s="166"/>
      <c r="AP134" s="166"/>
      <c r="AQ134" s="166"/>
      <c r="AR134" s="166"/>
      <c r="AS134" s="166"/>
      <c r="AT134" s="166"/>
      <c r="AU134" s="166"/>
      <c r="AV134" s="166"/>
      <c r="AW134" s="166"/>
      <c r="AX134" s="166"/>
      <c r="AY134" s="166"/>
      <c r="AZ134" s="166"/>
      <c r="BA134" s="166"/>
      <c r="BB134" s="166"/>
      <c r="BC134" s="167"/>
      <c r="BD134" s="167"/>
      <c r="BE134" s="167"/>
      <c r="BF134" s="167"/>
      <c r="BG134" s="167"/>
      <c r="BH134" s="167"/>
      <c r="BI134" s="167"/>
      <c r="BJ134" s="167"/>
      <c r="BK134" s="167"/>
      <c r="BL134" s="167"/>
      <c r="BM134" s="167"/>
      <c r="BN134" s="167"/>
      <c r="BO134" s="167"/>
      <c r="BP134" s="167"/>
      <c r="BQ134" s="167"/>
      <c r="BR134" s="167"/>
      <c r="BS134" s="167"/>
      <c r="BT134" s="167"/>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c r="IT134" s="2"/>
      <c r="IU134" s="2"/>
      <c r="IV134" s="2"/>
      <c r="IW134" s="2"/>
    </row>
    <row r="135" spans="1:257" x14ac:dyDescent="0.3">
      <c r="A135" s="26" t="s">
        <v>87</v>
      </c>
      <c r="B135" s="26"/>
      <c r="C135" s="41"/>
      <c r="D135" s="41"/>
      <c r="E135" s="41"/>
      <c r="F135" s="41"/>
      <c r="G135" s="41"/>
      <c r="H135" s="41"/>
      <c r="I135" s="41"/>
      <c r="J135" s="41"/>
      <c r="K135" s="41"/>
      <c r="L135" s="132">
        <f>L27</f>
        <v>0</v>
      </c>
      <c r="M135" s="131" t="s">
        <v>103</v>
      </c>
      <c r="N135" s="26"/>
      <c r="O135" s="22"/>
      <c r="P135" s="26"/>
      <c r="R135" s="34"/>
      <c r="S135" s="167"/>
      <c r="T135" s="167"/>
      <c r="U135" s="166"/>
      <c r="V135" s="166"/>
      <c r="W135" s="166"/>
      <c r="X135" s="166"/>
      <c r="Y135" s="166"/>
      <c r="Z135" s="166"/>
      <c r="AA135" s="166"/>
      <c r="AB135" s="166"/>
      <c r="AC135" s="166"/>
      <c r="AD135" s="166"/>
      <c r="AE135" s="166"/>
      <c r="AF135" s="166"/>
      <c r="AG135" s="166"/>
      <c r="AH135" s="166"/>
      <c r="AI135" s="166"/>
      <c r="AJ135" s="166"/>
      <c r="AK135" s="166"/>
      <c r="AL135" s="166"/>
      <c r="AM135" s="166"/>
      <c r="AN135" s="166"/>
      <c r="AO135" s="166"/>
      <c r="AP135" s="166"/>
      <c r="AQ135" s="166"/>
      <c r="AR135" s="166">
        <f>SUM(AQ135:AQ137)</f>
        <v>2</v>
      </c>
      <c r="AS135" s="671">
        <f>AR135/AR$139</f>
        <v>4.1666666666666664E-2</v>
      </c>
      <c r="AT135" s="166"/>
      <c r="AU135" s="166"/>
      <c r="AV135" s="166"/>
      <c r="AW135" s="166"/>
      <c r="AX135" s="166"/>
      <c r="AY135" s="166"/>
      <c r="AZ135" s="166"/>
      <c r="BA135" s="166"/>
      <c r="BB135" s="166"/>
      <c r="BC135" s="167"/>
      <c r="BD135" s="167"/>
      <c r="BE135" s="167"/>
      <c r="BF135" s="167"/>
      <c r="BG135" s="167"/>
      <c r="BH135" s="167"/>
      <c r="BI135" s="167"/>
      <c r="BJ135" s="167"/>
      <c r="BK135" s="167"/>
      <c r="BL135" s="167"/>
      <c r="BM135" s="167"/>
      <c r="BN135" s="167"/>
      <c r="BO135" s="167"/>
      <c r="BP135" s="167"/>
      <c r="BQ135" s="167"/>
      <c r="BR135" s="167"/>
      <c r="BS135" s="167"/>
      <c r="BT135" s="167"/>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c r="IT135" s="2"/>
      <c r="IU135" s="2"/>
      <c r="IV135" s="2"/>
      <c r="IW135" s="2"/>
    </row>
    <row r="136" spans="1:257" ht="15.6" x14ac:dyDescent="0.3">
      <c r="A136" s="64" t="s">
        <v>437</v>
      </c>
      <c r="B136" s="26"/>
      <c r="C136" s="41"/>
      <c r="D136" s="41"/>
      <c r="E136" s="41"/>
      <c r="F136" s="41"/>
      <c r="G136" s="41"/>
      <c r="H136" s="41"/>
      <c r="I136" s="41"/>
      <c r="J136" s="41"/>
      <c r="K136" s="41"/>
      <c r="L136" s="41"/>
      <c r="M136" s="131"/>
      <c r="N136" s="549" t="e">
        <f>L134/L135*100</f>
        <v>#DIV/0!</v>
      </c>
      <c r="O136" s="133" t="s">
        <v>22</v>
      </c>
      <c r="P136" s="134" t="str">
        <f>'Classement EA'!B76</f>
        <v>&lt;</v>
      </c>
      <c r="Q136" s="95" t="e">
        <f>'Classement EA'!C76</f>
        <v>#N/A</v>
      </c>
      <c r="R136" s="70" t="s">
        <v>22</v>
      </c>
      <c r="S136" s="167"/>
      <c r="T136" s="674" t="e">
        <f>'Classement EA'!D76</f>
        <v>#N/A</v>
      </c>
      <c r="U136" s="166"/>
      <c r="V136" s="166"/>
      <c r="W136" s="166"/>
      <c r="X136" s="166"/>
      <c r="Y136" s="166"/>
      <c r="Z136" s="166"/>
      <c r="AA136" s="166"/>
      <c r="AB136" s="166"/>
      <c r="AC136" s="166"/>
      <c r="AD136" s="166" t="e">
        <f>IF(N136&lt;=Q136,0,1)+IF(N136&lt;=T136,0,1)</f>
        <v>#DIV/0!</v>
      </c>
      <c r="AE136" s="685" t="e">
        <f>IF(AD136=1,AD136,0)+IF(AD136=2,AD136,0)</f>
        <v>#DIV/0!</v>
      </c>
      <c r="AF136" s="166"/>
      <c r="AG136" s="166" t="str">
        <f>A136</f>
        <v>Frais financiers annuels / Produit des activités (%)</v>
      </c>
      <c r="AH136" s="166"/>
      <c r="AI136" s="166"/>
      <c r="AJ136" s="166"/>
      <c r="AK136" s="167">
        <v>0</v>
      </c>
      <c r="AL136" s="167">
        <v>1</v>
      </c>
      <c r="AM136" s="167">
        <v>2</v>
      </c>
      <c r="AN136" s="166"/>
      <c r="AO136" s="167">
        <v>0</v>
      </c>
      <c r="AP136" s="167">
        <v>2</v>
      </c>
      <c r="AQ136" s="167">
        <v>2</v>
      </c>
      <c r="AR136" s="167"/>
      <c r="AS136" s="167"/>
      <c r="AT136" s="167"/>
      <c r="AU136" s="166">
        <v>2</v>
      </c>
      <c r="AV136" s="166">
        <v>1</v>
      </c>
      <c r="AW136" s="166"/>
      <c r="AX136" s="166">
        <v>5</v>
      </c>
      <c r="AY136" s="166">
        <v>2</v>
      </c>
      <c r="AZ136" s="166"/>
      <c r="BA136" s="166">
        <v>2</v>
      </c>
      <c r="BB136" s="166">
        <v>1</v>
      </c>
      <c r="BC136" s="167"/>
      <c r="BD136" s="167"/>
      <c r="BE136" s="167"/>
      <c r="BF136" s="167"/>
      <c r="BG136" s="167"/>
      <c r="BH136" s="167"/>
      <c r="BI136" s="167"/>
      <c r="BJ136" s="167"/>
      <c r="BK136" s="167"/>
      <c r="BL136" s="167"/>
      <c r="BM136" s="167"/>
      <c r="BN136" s="167"/>
      <c r="BO136" s="167"/>
      <c r="BP136" s="167"/>
      <c r="BQ136" s="167"/>
      <c r="BR136" s="167"/>
      <c r="BS136" s="167"/>
      <c r="BT136" s="167"/>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c r="IK136" s="2"/>
      <c r="IL136" s="2"/>
      <c r="IM136" s="2"/>
      <c r="IN136" s="2"/>
      <c r="IO136" s="2"/>
      <c r="IP136" s="2"/>
      <c r="IQ136" s="2"/>
      <c r="IR136" s="2"/>
      <c r="IS136" s="2"/>
      <c r="IT136" s="2"/>
      <c r="IU136" s="2"/>
      <c r="IV136" s="2"/>
      <c r="IW136" s="2"/>
    </row>
    <row r="137" spans="1:257" ht="8.1" customHeight="1" x14ac:dyDescent="0.3">
      <c r="A137" s="48"/>
      <c r="B137" s="48"/>
      <c r="C137" s="37"/>
      <c r="D137" s="37"/>
      <c r="E137" s="37"/>
      <c r="F137" s="37"/>
      <c r="G137" s="37"/>
      <c r="H137" s="37"/>
      <c r="I137" s="37"/>
      <c r="J137" s="37"/>
      <c r="K137" s="37"/>
      <c r="L137" s="37"/>
      <c r="M137" s="37"/>
      <c r="N137" s="48"/>
      <c r="O137" s="125"/>
      <c r="P137" s="129"/>
      <c r="Q137" s="37"/>
      <c r="R137" s="130"/>
      <c r="S137" s="167"/>
      <c r="T137" s="167"/>
      <c r="U137" s="166"/>
      <c r="V137" s="166"/>
      <c r="W137" s="166"/>
      <c r="X137" s="166"/>
      <c r="Y137" s="166"/>
      <c r="Z137" s="166"/>
      <c r="AA137" s="166"/>
      <c r="AB137" s="166"/>
      <c r="AC137" s="166"/>
      <c r="AD137" s="166"/>
      <c r="AE137" s="166"/>
      <c r="AF137" s="166"/>
      <c r="AG137" s="166"/>
      <c r="AH137" s="166"/>
      <c r="AI137" s="166"/>
      <c r="AJ137" s="166"/>
      <c r="AK137" s="166"/>
      <c r="AL137" s="166"/>
      <c r="AM137" s="166"/>
      <c r="AN137" s="166"/>
      <c r="AO137" s="166"/>
      <c r="AP137" s="166"/>
      <c r="AQ137" s="166"/>
      <c r="AR137" s="166"/>
      <c r="AS137" s="166"/>
      <c r="AT137" s="166"/>
      <c r="AU137" s="166"/>
      <c r="AV137" s="166"/>
      <c r="AW137" s="166"/>
      <c r="AX137" s="166"/>
      <c r="AY137" s="166"/>
      <c r="AZ137" s="166"/>
      <c r="BA137" s="166"/>
      <c r="BB137" s="166"/>
      <c r="BC137" s="167"/>
      <c r="BD137" s="167"/>
      <c r="BE137" s="167"/>
      <c r="BF137" s="167"/>
      <c r="BG137" s="167"/>
      <c r="BH137" s="167"/>
      <c r="BI137" s="167"/>
      <c r="BJ137" s="167"/>
      <c r="BK137" s="167"/>
      <c r="BL137" s="167"/>
      <c r="BM137" s="167"/>
      <c r="BN137" s="167"/>
      <c r="BO137" s="167"/>
      <c r="BP137" s="167"/>
      <c r="BQ137" s="167"/>
      <c r="BR137" s="167"/>
      <c r="BS137" s="167"/>
      <c r="BT137" s="167"/>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c r="II137" s="2"/>
      <c r="IJ137" s="2"/>
      <c r="IK137" s="2"/>
      <c r="IL137" s="2"/>
      <c r="IM137" s="2"/>
      <c r="IN137" s="2"/>
      <c r="IO137" s="2"/>
      <c r="IP137" s="2"/>
      <c r="IQ137" s="2"/>
      <c r="IR137" s="2"/>
      <c r="IS137" s="2"/>
      <c r="IT137" s="2"/>
      <c r="IU137" s="2"/>
      <c r="IV137" s="2"/>
      <c r="IW137" s="2"/>
    </row>
    <row r="138" spans="1:257" x14ac:dyDescent="0.3">
      <c r="S138" s="167"/>
      <c r="T138" s="167"/>
      <c r="U138" s="166"/>
      <c r="V138" s="166"/>
      <c r="W138" s="166"/>
      <c r="X138" s="166"/>
      <c r="Y138" s="166"/>
      <c r="Z138" s="166"/>
      <c r="AA138" s="166"/>
      <c r="AB138" s="166"/>
      <c r="AC138" s="166"/>
      <c r="AD138" s="684" t="e">
        <f>SUM(AD32:AD137)</f>
        <v>#DIV/0!</v>
      </c>
      <c r="AE138" s="684" t="e">
        <f>SUM(AE32:AE137)</f>
        <v>#DIV/0!</v>
      </c>
      <c r="AF138" s="166"/>
      <c r="AG138" s="166"/>
      <c r="AH138" s="166"/>
      <c r="AI138" s="166"/>
      <c r="AJ138" s="166"/>
      <c r="AK138" s="166"/>
      <c r="AL138" s="166"/>
      <c r="AM138" s="166"/>
      <c r="AN138" s="166"/>
      <c r="AO138" s="166"/>
      <c r="AP138" s="166"/>
      <c r="AQ138" s="166"/>
      <c r="AR138" s="166"/>
      <c r="AS138" s="166"/>
      <c r="AT138" s="166"/>
      <c r="AU138" s="166"/>
      <c r="AV138" s="166"/>
      <c r="AW138" s="166"/>
      <c r="AX138" s="166"/>
      <c r="AY138" s="166"/>
      <c r="AZ138" s="166"/>
      <c r="BA138" s="166"/>
      <c r="BB138" s="166"/>
      <c r="BC138" s="167"/>
      <c r="BD138" s="167"/>
      <c r="BE138" s="167"/>
      <c r="BF138" s="167"/>
      <c r="BG138" s="167"/>
      <c r="BH138" s="167"/>
      <c r="BI138" s="167"/>
      <c r="BJ138" s="167"/>
      <c r="BK138" s="167"/>
      <c r="BL138" s="167"/>
      <c r="BM138" s="167"/>
      <c r="BN138" s="167"/>
      <c r="BO138" s="167"/>
      <c r="BP138" s="167"/>
      <c r="BQ138" s="167"/>
      <c r="BR138" s="167"/>
      <c r="BS138" s="167"/>
      <c r="BT138" s="167"/>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c r="IF138" s="2"/>
      <c r="IG138" s="2"/>
      <c r="IH138" s="2"/>
      <c r="II138" s="2"/>
      <c r="IJ138" s="2"/>
      <c r="IK138" s="2"/>
      <c r="IL138" s="2"/>
      <c r="IM138" s="2"/>
      <c r="IN138" s="2"/>
      <c r="IO138" s="2"/>
      <c r="IP138" s="2"/>
      <c r="IQ138" s="2"/>
      <c r="IR138" s="2"/>
      <c r="IS138" s="2"/>
      <c r="IT138" s="2"/>
      <c r="IU138" s="2"/>
      <c r="IV138" s="2"/>
      <c r="IW138" s="2"/>
    </row>
    <row r="139" spans="1:257" x14ac:dyDescent="0.3">
      <c r="S139" s="167"/>
      <c r="T139" s="167"/>
      <c r="U139" s="166"/>
      <c r="V139" s="166"/>
      <c r="W139" s="166"/>
      <c r="X139" s="166"/>
      <c r="Y139" s="166"/>
      <c r="Z139" s="166"/>
      <c r="AA139" s="166"/>
      <c r="AB139" s="166"/>
      <c r="AC139" s="166" t="s">
        <v>249</v>
      </c>
      <c r="AD139" s="166">
        <v>22</v>
      </c>
      <c r="AE139" s="166">
        <v>36</v>
      </c>
      <c r="AF139" s="166"/>
      <c r="AG139" s="166"/>
      <c r="AH139" s="166"/>
      <c r="AI139" s="166"/>
      <c r="AJ139" s="166"/>
      <c r="AK139" s="166">
        <f>SUM(AK37:AK136)</f>
        <v>0</v>
      </c>
      <c r="AL139" s="166">
        <f>SUM(AL37:AL136)</f>
        <v>11</v>
      </c>
      <c r="AM139" s="166">
        <f>SUM(AM37:AM136)</f>
        <v>22</v>
      </c>
      <c r="AN139" s="166"/>
      <c r="AO139" s="166">
        <f>SUM(AO37:AO136)</f>
        <v>0</v>
      </c>
      <c r="AP139" s="166">
        <f>SUM(AP37:AP136)</f>
        <v>17</v>
      </c>
      <c r="AQ139" s="166">
        <f>SUM(AQ37:AQ136)</f>
        <v>48</v>
      </c>
      <c r="AR139" s="166">
        <f>SUM(AR36:AR137)</f>
        <v>48</v>
      </c>
      <c r="AS139" s="166"/>
      <c r="AT139" s="166"/>
      <c r="AU139" s="166">
        <f>SUM(AU37:AU136)</f>
        <v>30</v>
      </c>
      <c r="AV139" s="166">
        <f>SUM(AV37:AV136)</f>
        <v>15</v>
      </c>
      <c r="AW139" s="166"/>
      <c r="AX139" s="166">
        <f>SUM(AX31:AX138)</f>
        <v>51</v>
      </c>
      <c r="AY139" s="166">
        <f>SUM(AY31:AY138)</f>
        <v>18</v>
      </c>
      <c r="AZ139" s="166"/>
      <c r="BA139" s="166">
        <f>SUM(BA31:BA138)</f>
        <v>22</v>
      </c>
      <c r="BB139" s="166">
        <f>SUM(BB31:BB138)</f>
        <v>11</v>
      </c>
      <c r="BC139" s="167"/>
      <c r="BD139" s="167"/>
      <c r="BE139" s="167"/>
      <c r="BF139" s="167"/>
      <c r="BG139" s="167"/>
      <c r="BH139" s="167"/>
      <c r="BI139" s="167"/>
      <c r="BJ139" s="167"/>
      <c r="BK139" s="167"/>
      <c r="BL139" s="167"/>
      <c r="BM139" s="167"/>
      <c r="BN139" s="167"/>
      <c r="BO139" s="167"/>
      <c r="BP139" s="167"/>
      <c r="BQ139" s="167"/>
      <c r="BR139" s="167"/>
      <c r="BS139" s="167"/>
      <c r="BT139" s="167"/>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c r="II139" s="2"/>
      <c r="IJ139" s="2"/>
      <c r="IK139" s="2"/>
      <c r="IL139" s="2"/>
      <c r="IM139" s="2"/>
      <c r="IN139" s="2"/>
      <c r="IO139" s="2"/>
      <c r="IP139" s="2"/>
      <c r="IQ139" s="2"/>
      <c r="IR139" s="2"/>
      <c r="IS139" s="2"/>
      <c r="IT139" s="2"/>
      <c r="IU139" s="2"/>
      <c r="IV139" s="2"/>
      <c r="IW139" s="2"/>
    </row>
    <row r="140" spans="1:257" ht="27.9" customHeight="1" x14ac:dyDescent="0.5">
      <c r="A140" s="441" t="s">
        <v>92</v>
      </c>
      <c r="B140" s="558" t="e">
        <f>Q140</f>
        <v>#DIV/0!</v>
      </c>
      <c r="C140" s="561" t="s">
        <v>352</v>
      </c>
      <c r="D140" s="135"/>
      <c r="E140" s="135"/>
      <c r="F140" s="135"/>
      <c r="G140" s="135"/>
      <c r="H140" s="135"/>
      <c r="I140" s="135"/>
      <c r="J140" s="135"/>
      <c r="K140" s="135"/>
      <c r="L140" s="135"/>
      <c r="M140" s="136"/>
      <c r="N140" s="136"/>
      <c r="O140" s="136"/>
      <c r="P140" s="564" t="s">
        <v>160</v>
      </c>
      <c r="Q140" s="565" t="e">
        <f>AD138</f>
        <v>#DIV/0!</v>
      </c>
      <c r="R140" s="566" t="s">
        <v>350</v>
      </c>
      <c r="S140" s="167"/>
      <c r="T140" s="167"/>
      <c r="U140" s="166"/>
      <c r="V140" s="166"/>
      <c r="W140" s="166"/>
      <c r="X140" s="166"/>
      <c r="Y140" s="166"/>
      <c r="Z140" s="166"/>
      <c r="AA140" s="166"/>
      <c r="AB140" s="166"/>
      <c r="AC140" s="166"/>
      <c r="AD140" s="166"/>
      <c r="AE140" s="166"/>
      <c r="AF140" s="166"/>
      <c r="AG140" s="166"/>
      <c r="AH140" s="166"/>
      <c r="AI140" s="166"/>
      <c r="AJ140" s="166"/>
      <c r="AK140" s="671"/>
      <c r="AL140" s="671"/>
      <c r="AM140" s="671">
        <f>AL139/AM139</f>
        <v>0.5</v>
      </c>
      <c r="AN140" s="166"/>
      <c r="AO140" s="671"/>
      <c r="AP140" s="671"/>
      <c r="AQ140" s="671">
        <f>AP139/AQ139</f>
        <v>0.35416666666666669</v>
      </c>
      <c r="AR140" s="671"/>
      <c r="AS140" s="671"/>
      <c r="AT140" s="671"/>
      <c r="AU140" s="166"/>
      <c r="AV140" s="166"/>
      <c r="AW140" s="166"/>
      <c r="AX140" s="166"/>
      <c r="AY140" s="166"/>
      <c r="AZ140" s="166"/>
      <c r="BA140" s="166"/>
      <c r="BB140" s="166"/>
      <c r="BC140" s="167"/>
      <c r="BD140" s="167"/>
      <c r="BE140" s="167"/>
      <c r="BF140" s="167"/>
      <c r="BG140" s="167"/>
      <c r="BH140" s="167"/>
      <c r="BI140" s="167"/>
      <c r="BJ140" s="167"/>
      <c r="BK140" s="167"/>
      <c r="BL140" s="167"/>
      <c r="BM140" s="167"/>
      <c r="BN140" s="167"/>
      <c r="BO140" s="167"/>
      <c r="BP140" s="167"/>
      <c r="BQ140" s="167"/>
      <c r="BR140" s="167"/>
      <c r="BS140" s="167"/>
      <c r="BT140" s="167"/>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c r="IJ140" s="2"/>
      <c r="IK140" s="2"/>
      <c r="IL140" s="2"/>
      <c r="IM140" s="2"/>
      <c r="IN140" s="2"/>
      <c r="IO140" s="2"/>
      <c r="IP140" s="2"/>
      <c r="IQ140" s="2"/>
      <c r="IR140" s="2"/>
      <c r="IS140" s="2"/>
      <c r="IT140" s="2"/>
      <c r="IU140" s="2"/>
      <c r="IV140" s="2"/>
      <c r="IW140" s="2"/>
    </row>
    <row r="141" spans="1:257" ht="27.9" customHeight="1" x14ac:dyDescent="0.5">
      <c r="A141" s="441"/>
      <c r="B141" s="441"/>
      <c r="C141" s="443" t="e">
        <f>VLOOKUP(Q140,AC149:AI172,2)</f>
        <v>#DIV/0!</v>
      </c>
      <c r="D141" s="444"/>
      <c r="E141" s="444"/>
      <c r="F141" s="444"/>
      <c r="G141" s="444"/>
      <c r="H141" s="444"/>
      <c r="I141" s="444"/>
      <c r="J141" s="444"/>
      <c r="K141" s="444"/>
      <c r="L141" s="444"/>
      <c r="M141" s="445"/>
      <c r="N141" s="445"/>
      <c r="O141" s="445"/>
      <c r="P141" s="445"/>
      <c r="Q141" s="446"/>
      <c r="R141" s="447"/>
      <c r="S141" s="167"/>
      <c r="T141" s="167"/>
      <c r="U141" s="166"/>
      <c r="V141" s="166"/>
      <c r="W141" s="166"/>
      <c r="X141" s="166"/>
      <c r="Y141" s="166"/>
      <c r="Z141" s="166"/>
      <c r="AA141" s="166"/>
      <c r="AB141" s="166"/>
      <c r="AC141" s="166"/>
      <c r="AD141" s="166" t="s">
        <v>345</v>
      </c>
      <c r="AE141" s="166"/>
      <c r="AF141" s="166"/>
      <c r="AG141" s="166"/>
      <c r="AH141" s="166"/>
      <c r="AI141" s="166">
        <v>0</v>
      </c>
      <c r="AJ141" s="166">
        <v>7</v>
      </c>
      <c r="AK141" s="166"/>
      <c r="AL141" s="166"/>
      <c r="AM141" s="166"/>
      <c r="AN141" s="166"/>
      <c r="AO141" s="166"/>
      <c r="AP141" s="166"/>
      <c r="AQ141" s="166"/>
      <c r="AR141" s="166"/>
      <c r="AS141" s="166"/>
      <c r="AT141" s="166"/>
      <c r="AU141" s="166"/>
      <c r="AV141" s="166"/>
      <c r="AW141" s="166"/>
      <c r="AX141" s="166"/>
      <c r="AY141" s="166"/>
      <c r="AZ141" s="166"/>
      <c r="BA141" s="166"/>
      <c r="BB141" s="166"/>
      <c r="BC141" s="167"/>
      <c r="BD141" s="167"/>
      <c r="BE141" s="167"/>
      <c r="BF141" s="167"/>
      <c r="BG141" s="167"/>
      <c r="BH141" s="167"/>
      <c r="BI141" s="167"/>
      <c r="BJ141" s="167"/>
      <c r="BK141" s="167"/>
      <c r="BL141" s="167"/>
      <c r="BM141" s="167"/>
      <c r="BN141" s="167"/>
      <c r="BO141" s="167"/>
      <c r="BP141" s="167"/>
      <c r="BQ141" s="167"/>
      <c r="BR141" s="167"/>
      <c r="BS141" s="167"/>
      <c r="BT141" s="167"/>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c r="IW141" s="2"/>
    </row>
    <row r="142" spans="1:257" ht="15" customHeight="1" x14ac:dyDescent="0.5">
      <c r="A142" s="441"/>
      <c r="B142" s="441"/>
      <c r="C142" s="441"/>
      <c r="D142" s="441"/>
      <c r="E142" s="441"/>
      <c r="F142" s="441"/>
      <c r="G142" s="441"/>
      <c r="H142" s="441"/>
      <c r="I142" s="441"/>
      <c r="J142" s="441"/>
      <c r="K142" s="441"/>
      <c r="L142" s="441"/>
      <c r="M142" s="441"/>
      <c r="N142" s="441"/>
      <c r="O142" s="441"/>
      <c r="P142" s="441"/>
      <c r="Q142" s="441"/>
      <c r="R142" s="441"/>
      <c r="S142" s="686"/>
      <c r="T142" s="686"/>
      <c r="U142" s="166"/>
      <c r="V142" s="166"/>
      <c r="W142" s="166"/>
      <c r="X142" s="166"/>
      <c r="Y142" s="166"/>
      <c r="Z142" s="166"/>
      <c r="AA142" s="166"/>
      <c r="AB142" s="166"/>
      <c r="AC142" s="166"/>
      <c r="AD142" s="166" t="s">
        <v>161</v>
      </c>
      <c r="AE142" s="166"/>
      <c r="AF142" s="166"/>
      <c r="AG142" s="166"/>
      <c r="AH142" s="166"/>
      <c r="AI142" s="166">
        <v>8</v>
      </c>
      <c r="AJ142" s="166">
        <v>14</v>
      </c>
      <c r="AK142" s="166"/>
      <c r="AL142" s="166"/>
      <c r="AM142" s="166"/>
      <c r="AN142" s="166"/>
      <c r="AO142" s="166"/>
      <c r="AP142" s="166"/>
      <c r="AQ142" s="166"/>
      <c r="AR142" s="166"/>
      <c r="AS142" s="166"/>
      <c r="AT142" s="166"/>
      <c r="AU142" s="166"/>
      <c r="AV142" s="166"/>
      <c r="AW142" s="166"/>
      <c r="AX142" s="166"/>
      <c r="AY142" s="166"/>
      <c r="AZ142" s="166"/>
      <c r="BA142" s="166"/>
      <c r="BB142" s="166"/>
      <c r="BC142" s="167"/>
      <c r="BD142" s="167"/>
      <c r="BE142" s="167"/>
      <c r="BF142" s="167"/>
      <c r="BG142" s="167"/>
      <c r="BH142" s="167"/>
      <c r="BI142" s="167"/>
      <c r="BJ142" s="167"/>
      <c r="BK142" s="167"/>
      <c r="BL142" s="167"/>
      <c r="BM142" s="167"/>
      <c r="BN142" s="167"/>
      <c r="BO142" s="167"/>
      <c r="BP142" s="167"/>
      <c r="BQ142" s="167"/>
      <c r="BR142" s="167"/>
      <c r="BS142" s="167"/>
      <c r="BT142" s="167"/>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c r="IK142" s="2"/>
      <c r="IL142" s="2"/>
      <c r="IM142" s="2"/>
      <c r="IN142" s="2"/>
      <c r="IO142" s="2"/>
      <c r="IP142" s="2"/>
      <c r="IQ142" s="2"/>
      <c r="IR142" s="2"/>
      <c r="IS142" s="2"/>
      <c r="IT142" s="2"/>
      <c r="IU142" s="2"/>
      <c r="IV142" s="2"/>
      <c r="IW142" s="2"/>
    </row>
    <row r="143" spans="1:257" ht="27.9" customHeight="1" x14ac:dyDescent="0.35">
      <c r="B143" s="440" t="e">
        <f>Q143</f>
        <v>#DIV/0!</v>
      </c>
      <c r="C143" s="562" t="s">
        <v>353</v>
      </c>
      <c r="D143" s="137"/>
      <c r="E143" s="137"/>
      <c r="F143" s="137"/>
      <c r="G143" s="137"/>
      <c r="H143" s="137"/>
      <c r="I143" s="137"/>
      <c r="J143" s="137"/>
      <c r="K143" s="137"/>
      <c r="L143" s="137"/>
      <c r="M143" s="137"/>
      <c r="N143" s="137"/>
      <c r="O143" s="137"/>
      <c r="P143" s="138" t="s">
        <v>160</v>
      </c>
      <c r="Q143" s="563" t="e">
        <f>AE138</f>
        <v>#DIV/0!</v>
      </c>
      <c r="R143" s="388" t="s">
        <v>351</v>
      </c>
      <c r="S143" s="167"/>
      <c r="T143" s="167"/>
      <c r="U143" s="166"/>
      <c r="V143" s="166"/>
      <c r="W143" s="166"/>
      <c r="X143" s="166"/>
      <c r="Y143" s="166"/>
      <c r="Z143" s="166"/>
      <c r="AA143" s="166"/>
      <c r="AB143" s="166"/>
      <c r="AC143" s="166"/>
      <c r="AD143" s="166" t="s">
        <v>161</v>
      </c>
      <c r="AE143" s="166"/>
      <c r="AF143" s="166"/>
      <c r="AG143" s="166"/>
      <c r="AH143" s="166"/>
      <c r="AI143" s="166">
        <v>15</v>
      </c>
      <c r="AJ143" s="166">
        <v>22</v>
      </c>
      <c r="AK143" s="166"/>
      <c r="AL143" s="166"/>
      <c r="AM143" s="166"/>
      <c r="AN143" s="166"/>
      <c r="AO143" s="166"/>
      <c r="AP143" s="166"/>
      <c r="AQ143" s="166"/>
      <c r="AR143" s="166"/>
      <c r="AS143" s="166"/>
      <c r="AT143" s="166"/>
      <c r="AU143" s="166"/>
      <c r="AV143" s="166"/>
      <c r="AW143" s="166"/>
      <c r="AX143" s="166"/>
      <c r="AY143" s="166"/>
      <c r="AZ143" s="166"/>
      <c r="BA143" s="166"/>
      <c r="BB143" s="166"/>
      <c r="BC143" s="167"/>
      <c r="BD143" s="167"/>
      <c r="BE143" s="167"/>
      <c r="BF143" s="167"/>
      <c r="BG143" s="167"/>
      <c r="BH143" s="167"/>
      <c r="BI143" s="167"/>
      <c r="BJ143" s="167"/>
      <c r="BK143" s="167"/>
      <c r="BL143" s="167"/>
      <c r="BM143" s="167"/>
      <c r="BN143" s="167"/>
      <c r="BO143" s="167"/>
      <c r="BP143" s="167"/>
      <c r="BQ143" s="167"/>
      <c r="BR143" s="167"/>
      <c r="BS143" s="167"/>
      <c r="BT143" s="167"/>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c r="IF143" s="2"/>
      <c r="IG143" s="2"/>
      <c r="IH143" s="2"/>
      <c r="II143" s="2"/>
      <c r="IJ143" s="2"/>
      <c r="IK143" s="2"/>
      <c r="IL143" s="2"/>
      <c r="IM143" s="2"/>
      <c r="IN143" s="2"/>
      <c r="IO143" s="2"/>
      <c r="IP143" s="2"/>
      <c r="IQ143" s="2"/>
      <c r="IR143" s="2"/>
      <c r="IS143" s="2"/>
      <c r="IT143" s="2"/>
      <c r="IU143" s="2"/>
      <c r="IV143" s="2"/>
      <c r="IW143" s="2"/>
    </row>
    <row r="144" spans="1:257" ht="27.9" customHeight="1" x14ac:dyDescent="0.35">
      <c r="C144" s="443" t="e">
        <f>VLOOKUP(Q143,AC174:AI226,2)</f>
        <v>#DIV/0!</v>
      </c>
      <c r="D144" s="448"/>
      <c r="E144" s="448"/>
      <c r="F144" s="448"/>
      <c r="G144" s="448"/>
      <c r="H144" s="448"/>
      <c r="I144" s="448"/>
      <c r="J144" s="448"/>
      <c r="K144" s="448"/>
      <c r="L144" s="448"/>
      <c r="M144" s="448"/>
      <c r="N144" s="448"/>
      <c r="O144" s="448"/>
      <c r="P144" s="448"/>
      <c r="Q144" s="449"/>
      <c r="R144" s="449"/>
      <c r="S144" s="167"/>
      <c r="T144" s="167"/>
      <c r="U144" s="166"/>
      <c r="V144" s="166"/>
      <c r="W144" s="166"/>
      <c r="X144" s="166"/>
      <c r="Y144" s="166"/>
      <c r="Z144" s="166"/>
      <c r="AA144" s="166"/>
      <c r="AB144" s="166"/>
      <c r="AC144" s="166"/>
      <c r="AD144" s="166"/>
      <c r="AE144" s="166"/>
      <c r="AF144" s="166"/>
      <c r="AG144" s="166"/>
      <c r="AH144" s="166"/>
      <c r="AI144" s="166"/>
      <c r="AJ144" s="166"/>
      <c r="AK144" s="166"/>
      <c r="AL144" s="166"/>
      <c r="AM144" s="166"/>
      <c r="AN144" s="166"/>
      <c r="AO144" s="166"/>
      <c r="AP144" s="166"/>
      <c r="AQ144" s="166"/>
      <c r="AR144" s="166"/>
      <c r="AS144" s="166"/>
      <c r="AT144" s="166"/>
      <c r="AU144" s="166"/>
      <c r="AV144" s="166"/>
      <c r="AW144" s="166"/>
      <c r="AX144" s="166"/>
      <c r="AY144" s="166"/>
      <c r="AZ144" s="166"/>
      <c r="BA144" s="166"/>
      <c r="BB144" s="166"/>
      <c r="BC144" s="166"/>
      <c r="BD144" s="167"/>
      <c r="BE144" s="167"/>
      <c r="BF144" s="167"/>
      <c r="BG144" s="167"/>
      <c r="BH144" s="167"/>
      <c r="BI144" s="167"/>
      <c r="BJ144" s="167"/>
      <c r="BK144" s="167"/>
      <c r="BL144" s="167"/>
      <c r="BM144" s="167"/>
      <c r="BN144" s="167"/>
      <c r="BO144" s="167"/>
      <c r="BP144" s="167"/>
      <c r="BQ144" s="167"/>
      <c r="BR144" s="167"/>
      <c r="BS144" s="167"/>
      <c r="BT144" s="167"/>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c r="IW144" s="2"/>
    </row>
    <row r="145" spans="2:257" ht="15" customHeight="1" x14ac:dyDescent="0.3">
      <c r="S145" s="167"/>
      <c r="T145" s="167"/>
      <c r="U145" s="166"/>
      <c r="V145" s="166"/>
      <c r="W145" s="166"/>
      <c r="X145" s="166"/>
      <c r="Y145" s="166"/>
      <c r="Z145" s="166"/>
      <c r="AA145" s="166"/>
      <c r="AB145" s="166"/>
      <c r="AC145" s="166"/>
      <c r="AD145" s="166" t="s">
        <v>348</v>
      </c>
      <c r="AE145" s="166"/>
      <c r="AF145" s="166"/>
      <c r="AG145" s="166"/>
      <c r="AH145" s="166"/>
      <c r="AI145" s="166">
        <v>0</v>
      </c>
      <c r="AJ145" s="166">
        <v>16</v>
      </c>
      <c r="AK145" s="166"/>
      <c r="AL145" s="166"/>
      <c r="AM145" s="166"/>
      <c r="AN145" s="166"/>
      <c r="AO145" s="166"/>
      <c r="AP145" s="166"/>
      <c r="AQ145" s="166"/>
      <c r="AR145" s="166"/>
      <c r="AS145" s="166"/>
      <c r="AT145" s="166"/>
      <c r="AU145" s="166"/>
      <c r="AV145" s="166"/>
      <c r="AW145" s="166"/>
      <c r="AX145" s="166"/>
      <c r="AY145" s="166"/>
      <c r="AZ145" s="166"/>
      <c r="BA145" s="166"/>
      <c r="BB145" s="166"/>
      <c r="BC145" s="167"/>
      <c r="BD145" s="167"/>
      <c r="BE145" s="167"/>
      <c r="BF145" s="167"/>
      <c r="BG145" s="167"/>
      <c r="BH145" s="167"/>
      <c r="BI145" s="167"/>
      <c r="BJ145" s="167"/>
      <c r="BK145" s="167"/>
      <c r="BL145" s="167"/>
      <c r="BM145" s="167"/>
      <c r="BN145" s="167"/>
      <c r="BO145" s="167"/>
      <c r="BP145" s="167"/>
      <c r="BQ145" s="167"/>
      <c r="BR145" s="167"/>
      <c r="BS145" s="167"/>
      <c r="BT145" s="167"/>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c r="IW145" s="2"/>
    </row>
    <row r="146" spans="2:257" ht="15" customHeight="1" x14ac:dyDescent="0.35">
      <c r="B146" s="442"/>
      <c r="C146" s="442"/>
      <c r="D146" s="442"/>
      <c r="E146" s="442"/>
      <c r="F146" s="442"/>
      <c r="G146" s="442"/>
      <c r="H146" s="442"/>
      <c r="I146" s="442"/>
      <c r="J146" s="442"/>
      <c r="K146" s="442"/>
      <c r="L146" s="442"/>
      <c r="M146" s="442"/>
      <c r="N146" s="442"/>
      <c r="O146" s="442"/>
      <c r="P146" s="442"/>
      <c r="Q146" s="442"/>
      <c r="R146" s="442"/>
      <c r="S146" s="167"/>
      <c r="T146" s="167"/>
      <c r="U146" s="166"/>
      <c r="V146" s="166"/>
      <c r="W146" s="166"/>
      <c r="X146" s="166"/>
      <c r="Y146" s="166"/>
      <c r="Z146" s="166"/>
      <c r="AA146" s="166"/>
      <c r="AB146" s="166"/>
      <c r="AC146" s="166"/>
      <c r="AD146" s="166" t="s">
        <v>162</v>
      </c>
      <c r="AE146" s="166"/>
      <c r="AF146" s="166"/>
      <c r="AG146" s="166"/>
      <c r="AH146" s="166"/>
      <c r="AI146" s="166">
        <v>17</v>
      </c>
      <c r="AJ146" s="166">
        <v>26</v>
      </c>
      <c r="AK146" s="166"/>
      <c r="AL146" s="166"/>
      <c r="AM146" s="166"/>
      <c r="AN146" s="166"/>
      <c r="AO146" s="166"/>
      <c r="AP146" s="166"/>
      <c r="AQ146" s="166"/>
      <c r="AR146" s="166"/>
      <c r="AS146" s="166"/>
      <c r="AT146" s="166"/>
      <c r="AU146" s="166"/>
      <c r="AV146" s="166"/>
      <c r="AW146" s="166"/>
      <c r="AX146" s="166"/>
      <c r="AY146" s="166"/>
      <c r="AZ146" s="166"/>
      <c r="BA146" s="166"/>
      <c r="BB146" s="166"/>
      <c r="BC146" s="167"/>
      <c r="BD146" s="167"/>
      <c r="BE146" s="167"/>
      <c r="BF146" s="167"/>
      <c r="BG146" s="167"/>
      <c r="BH146" s="167"/>
      <c r="BI146" s="167"/>
      <c r="BJ146" s="167"/>
      <c r="BK146" s="167"/>
      <c r="BL146" s="167"/>
      <c r="BM146" s="167"/>
      <c r="BN146" s="167"/>
      <c r="BO146" s="167"/>
      <c r="BP146" s="167"/>
      <c r="BQ146" s="167"/>
      <c r="BR146" s="167"/>
      <c r="BS146" s="167"/>
      <c r="BT146" s="167"/>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c r="IJ146" s="2"/>
      <c r="IK146" s="2"/>
      <c r="IL146" s="2"/>
      <c r="IM146" s="2"/>
      <c r="IN146" s="2"/>
      <c r="IO146" s="2"/>
      <c r="IP146" s="2"/>
      <c r="IQ146" s="2"/>
      <c r="IR146" s="2"/>
      <c r="IS146" s="2"/>
      <c r="IT146" s="2"/>
      <c r="IU146" s="2"/>
      <c r="IV146" s="2"/>
      <c r="IW146" s="2"/>
    </row>
    <row r="147" spans="2:257" x14ac:dyDescent="0.3">
      <c r="S147" s="167"/>
      <c r="T147" s="167"/>
      <c r="U147" s="167"/>
      <c r="V147" s="167"/>
      <c r="W147" s="167"/>
      <c r="X147" s="166"/>
      <c r="Y147" s="166"/>
      <c r="Z147" s="166"/>
      <c r="AA147" s="166"/>
      <c r="AB147" s="166"/>
      <c r="AC147" s="166"/>
      <c r="AD147" s="166" t="s">
        <v>163</v>
      </c>
      <c r="AE147" s="166"/>
      <c r="AF147" s="166"/>
      <c r="AG147" s="166"/>
      <c r="AH147" s="166"/>
      <c r="AI147" s="166">
        <v>27</v>
      </c>
      <c r="AJ147" s="166">
        <v>48</v>
      </c>
      <c r="AK147" s="166"/>
      <c r="AL147" s="166"/>
      <c r="AM147" s="166"/>
      <c r="AN147" s="166"/>
      <c r="AO147" s="166"/>
      <c r="AP147" s="166"/>
      <c r="AQ147" s="166"/>
      <c r="AR147" s="166"/>
      <c r="AS147" s="166"/>
      <c r="AT147" s="166"/>
      <c r="AU147" s="166"/>
      <c r="AV147" s="166"/>
      <c r="AW147" s="166"/>
      <c r="AX147" s="166"/>
      <c r="AY147" s="166"/>
      <c r="AZ147" s="166"/>
      <c r="BA147" s="166"/>
      <c r="BB147" s="166"/>
      <c r="BC147" s="166"/>
      <c r="BD147" s="166"/>
      <c r="BE147" s="166"/>
      <c r="BF147" s="166"/>
      <c r="BG147" s="166"/>
      <c r="BH147" s="166"/>
      <c r="BI147" s="166"/>
      <c r="BJ147" s="166"/>
      <c r="BK147" s="166"/>
      <c r="BL147" s="166"/>
      <c r="BM147" s="166"/>
      <c r="BN147" s="166"/>
      <c r="BO147" s="166"/>
      <c r="BP147" s="166"/>
      <c r="BQ147" s="166"/>
      <c r="BR147" s="166"/>
      <c r="BS147" s="166"/>
      <c r="BT147" s="166"/>
    </row>
    <row r="148" spans="2:257" x14ac:dyDescent="0.3">
      <c r="S148" s="167"/>
      <c r="T148" s="167"/>
      <c r="U148" s="167"/>
      <c r="V148" s="167"/>
      <c r="W148" s="167"/>
      <c r="X148" s="166"/>
      <c r="Y148" s="166"/>
      <c r="Z148" s="166"/>
      <c r="AA148" s="166"/>
      <c r="AB148" s="166"/>
      <c r="AC148" s="166"/>
      <c r="AD148" s="166"/>
      <c r="AE148" s="166"/>
      <c r="AF148" s="166"/>
      <c r="AG148" s="166"/>
      <c r="AH148" s="166"/>
      <c r="AI148" s="166"/>
      <c r="AJ148" s="166"/>
      <c r="AK148" s="166"/>
      <c r="AL148" s="166"/>
      <c r="AM148" s="166"/>
      <c r="AN148" s="166"/>
      <c r="AO148" s="166"/>
      <c r="AP148" s="166"/>
      <c r="AQ148" s="166"/>
      <c r="AR148" s="166"/>
      <c r="AS148" s="166"/>
      <c r="AT148" s="166"/>
      <c r="AU148" s="166"/>
      <c r="AV148" s="166"/>
      <c r="AW148" s="166"/>
      <c r="AX148" s="166"/>
      <c r="AY148" s="166"/>
      <c r="AZ148" s="166"/>
      <c r="BA148" s="166"/>
      <c r="BB148" s="166"/>
      <c r="BC148" s="166"/>
      <c r="BD148" s="166"/>
      <c r="BE148" s="166"/>
      <c r="BF148" s="166"/>
      <c r="BG148" s="166"/>
      <c r="BH148" s="166"/>
      <c r="BI148" s="166"/>
      <c r="BJ148" s="166"/>
      <c r="BK148" s="166"/>
      <c r="BL148" s="166"/>
      <c r="BM148" s="166"/>
      <c r="BN148" s="166"/>
      <c r="BO148" s="166"/>
      <c r="BP148" s="166"/>
      <c r="BQ148" s="166"/>
      <c r="BR148" s="166"/>
      <c r="BS148" s="166"/>
      <c r="BT148" s="166"/>
    </row>
    <row r="149" spans="2:257" x14ac:dyDescent="0.3">
      <c r="S149" s="167"/>
      <c r="T149" s="167"/>
      <c r="U149" s="167"/>
      <c r="V149" s="167"/>
      <c r="W149" s="167"/>
      <c r="X149" s="166"/>
      <c r="Y149" s="166"/>
      <c r="Z149" s="166"/>
      <c r="AA149" s="166"/>
      <c r="AB149" s="166"/>
      <c r="AC149" s="166"/>
      <c r="AD149" s="166"/>
      <c r="AE149" s="166"/>
      <c r="AF149" s="166"/>
      <c r="AG149" s="166"/>
      <c r="AH149" s="166"/>
      <c r="AI149" s="166"/>
      <c r="AJ149" s="166"/>
      <c r="AK149" s="166"/>
      <c r="AL149" s="166"/>
      <c r="AM149" s="166"/>
      <c r="AN149" s="166"/>
      <c r="AO149" s="166"/>
      <c r="AP149" s="166"/>
      <c r="AQ149" s="166"/>
      <c r="AR149" s="166"/>
      <c r="AS149" s="166"/>
      <c r="AT149" s="166"/>
      <c r="AU149" s="166"/>
      <c r="AV149" s="166"/>
      <c r="AW149" s="166"/>
      <c r="AX149" s="166"/>
      <c r="AY149" s="166"/>
      <c r="AZ149" s="166"/>
      <c r="BA149" s="166"/>
      <c r="BB149" s="166"/>
      <c r="BC149" s="166"/>
      <c r="BD149" s="166"/>
      <c r="BE149" s="166"/>
      <c r="BF149" s="166"/>
      <c r="BG149" s="166"/>
      <c r="BH149" s="166"/>
      <c r="BI149" s="166"/>
      <c r="BJ149" s="166"/>
      <c r="BK149" s="166"/>
      <c r="BL149" s="166"/>
      <c r="BM149" s="166"/>
      <c r="BN149" s="166"/>
      <c r="BO149" s="166"/>
      <c r="BP149" s="166"/>
      <c r="BQ149" s="166"/>
      <c r="BR149" s="166"/>
      <c r="BS149" s="166"/>
      <c r="BT149" s="166"/>
    </row>
    <row r="150" spans="2:257" x14ac:dyDescent="0.3">
      <c r="S150" s="167"/>
      <c r="T150" s="167"/>
      <c r="U150" s="167"/>
      <c r="V150" s="167"/>
      <c r="W150" s="167"/>
      <c r="X150" s="166"/>
      <c r="Y150" s="166"/>
      <c r="Z150" s="166"/>
      <c r="AA150" s="166"/>
      <c r="AB150" s="166"/>
      <c r="AC150" s="166">
        <f>AI150</f>
        <v>0</v>
      </c>
      <c r="AD150" s="166" t="str">
        <f>AD$141</f>
        <v>Critères techniques calculés conformes aux références de l'Observatoire des Charges de Mécanisation</v>
      </c>
      <c r="AE150" s="166"/>
      <c r="AF150" s="166"/>
      <c r="AG150" s="166"/>
      <c r="AH150" s="166"/>
      <c r="AI150" s="166">
        <v>0</v>
      </c>
      <c r="AJ150" s="166"/>
      <c r="AK150" s="166"/>
      <c r="AL150" s="166"/>
      <c r="AM150" s="166"/>
      <c r="AN150" s="166"/>
      <c r="AO150" s="166"/>
      <c r="AP150" s="166"/>
      <c r="AQ150" s="166"/>
      <c r="AR150" s="166"/>
      <c r="AS150" s="166"/>
      <c r="AT150" s="166"/>
      <c r="AU150" s="166"/>
      <c r="AV150" s="166"/>
      <c r="AW150" s="166"/>
      <c r="AX150" s="166"/>
      <c r="AY150" s="166"/>
      <c r="AZ150" s="166"/>
      <c r="BA150" s="166"/>
      <c r="BB150" s="166"/>
      <c r="BC150" s="166"/>
      <c r="BD150" s="166"/>
      <c r="BE150" s="166"/>
      <c r="BF150" s="166"/>
      <c r="BG150" s="166"/>
      <c r="BH150" s="166"/>
      <c r="BI150" s="166"/>
      <c r="BJ150" s="166"/>
      <c r="BK150" s="166"/>
      <c r="BL150" s="166"/>
      <c r="BM150" s="166"/>
      <c r="BN150" s="166"/>
      <c r="BO150" s="166"/>
      <c r="BP150" s="166"/>
      <c r="BQ150" s="166"/>
      <c r="BR150" s="166"/>
      <c r="BS150" s="166"/>
      <c r="BT150" s="166"/>
    </row>
    <row r="151" spans="2:257" x14ac:dyDescent="0.3">
      <c r="S151" s="167"/>
      <c r="T151" s="167"/>
      <c r="U151" s="167"/>
      <c r="V151" s="167"/>
      <c r="W151" s="167"/>
      <c r="X151" s="166"/>
      <c r="Y151" s="166"/>
      <c r="Z151" s="166"/>
      <c r="AA151" s="166"/>
      <c r="AB151" s="166"/>
      <c r="AC151" s="166">
        <f t="shared" ref="AC151:AC172" si="18">AI151</f>
        <v>1</v>
      </c>
      <c r="AD151" s="166" t="str">
        <f t="shared" ref="AD151:AD157" si="19">AD$141</f>
        <v>Critères techniques calculés conformes aux références de l'Observatoire des Charges de Mécanisation</v>
      </c>
      <c r="AE151" s="166"/>
      <c r="AF151" s="166"/>
      <c r="AG151" s="166"/>
      <c r="AH151" s="166"/>
      <c r="AI151" s="166">
        <f>AI150+1</f>
        <v>1</v>
      </c>
      <c r="AJ151" s="166"/>
      <c r="AK151" s="166"/>
      <c r="AL151" s="166"/>
      <c r="AM151" s="166"/>
      <c r="AN151" s="166"/>
      <c r="AO151" s="166"/>
      <c r="AP151" s="166"/>
      <c r="AQ151" s="166"/>
      <c r="AR151" s="166"/>
      <c r="AS151" s="166"/>
      <c r="AT151" s="166"/>
      <c r="AU151" s="166"/>
      <c r="AV151" s="166"/>
      <c r="AW151" s="166"/>
      <c r="AX151" s="166"/>
      <c r="AY151" s="166"/>
      <c r="AZ151" s="166"/>
      <c r="BA151" s="166"/>
      <c r="BB151" s="166"/>
      <c r="BC151" s="166"/>
      <c r="BD151" s="166"/>
      <c r="BE151" s="166"/>
      <c r="BF151" s="166"/>
      <c r="BG151" s="166"/>
      <c r="BH151" s="166"/>
      <c r="BI151" s="166"/>
      <c r="BJ151" s="166"/>
      <c r="BK151" s="166"/>
      <c r="BL151" s="166"/>
      <c r="BM151" s="166"/>
      <c r="BN151" s="166"/>
      <c r="BO151" s="166"/>
      <c r="BP151" s="166"/>
      <c r="BQ151" s="166"/>
      <c r="BR151" s="166"/>
      <c r="BS151" s="166"/>
      <c r="BT151" s="166"/>
    </row>
    <row r="152" spans="2:257" x14ac:dyDescent="0.3">
      <c r="S152" s="167"/>
      <c r="T152" s="167"/>
      <c r="U152" s="167"/>
      <c r="V152" s="167"/>
      <c r="W152" s="167"/>
      <c r="X152" s="166"/>
      <c r="Y152" s="166"/>
      <c r="Z152" s="166"/>
      <c r="AA152" s="166"/>
      <c r="AB152" s="166"/>
      <c r="AC152" s="166">
        <f t="shared" si="18"/>
        <v>2</v>
      </c>
      <c r="AD152" s="166" t="str">
        <f t="shared" si="19"/>
        <v>Critères techniques calculés conformes aux références de l'Observatoire des Charges de Mécanisation</v>
      </c>
      <c r="AE152" s="166"/>
      <c r="AF152" s="166"/>
      <c r="AG152" s="166"/>
      <c r="AH152" s="166"/>
      <c r="AI152" s="166">
        <f t="shared" ref="AI152:AI172" si="20">AI151+1</f>
        <v>2</v>
      </c>
      <c r="AJ152" s="166"/>
      <c r="AK152" s="166"/>
      <c r="AL152" s="166"/>
      <c r="AM152" s="166"/>
      <c r="AN152" s="166"/>
      <c r="AO152" s="166"/>
      <c r="AP152" s="166"/>
      <c r="AQ152" s="166"/>
      <c r="AR152" s="166"/>
      <c r="AS152" s="166"/>
      <c r="AT152" s="166"/>
      <c r="AU152" s="166"/>
      <c r="AV152" s="166"/>
      <c r="AW152" s="166"/>
      <c r="AX152" s="166"/>
      <c r="AY152" s="166"/>
      <c r="AZ152" s="166"/>
      <c r="BA152" s="166"/>
      <c r="BB152" s="166"/>
      <c r="BC152" s="166"/>
      <c r="BD152" s="166"/>
      <c r="BE152" s="166"/>
      <c r="BF152" s="166"/>
      <c r="BG152" s="166"/>
      <c r="BH152" s="166"/>
      <c r="BI152" s="166"/>
      <c r="BJ152" s="166"/>
      <c r="BK152" s="166"/>
      <c r="BL152" s="166"/>
      <c r="BM152" s="166"/>
      <c r="BN152" s="166"/>
      <c r="BO152" s="166"/>
      <c r="BP152" s="166"/>
      <c r="BQ152" s="166"/>
      <c r="BR152" s="166"/>
      <c r="BS152" s="166"/>
      <c r="BT152" s="166"/>
    </row>
    <row r="153" spans="2:257" x14ac:dyDescent="0.3">
      <c r="S153" s="167"/>
      <c r="T153" s="167"/>
      <c r="U153" s="167"/>
      <c r="V153" s="167"/>
      <c r="W153" s="167"/>
      <c r="X153" s="166"/>
      <c r="Y153" s="166"/>
      <c r="Z153" s="166"/>
      <c r="AA153" s="166"/>
      <c r="AB153" s="166"/>
      <c r="AC153" s="166">
        <f t="shared" si="18"/>
        <v>3</v>
      </c>
      <c r="AD153" s="166" t="str">
        <f t="shared" si="19"/>
        <v>Critères techniques calculés conformes aux références de l'Observatoire des Charges de Mécanisation</v>
      </c>
      <c r="AE153" s="166"/>
      <c r="AF153" s="166"/>
      <c r="AG153" s="166"/>
      <c r="AH153" s="166"/>
      <c r="AI153" s="166">
        <f t="shared" si="20"/>
        <v>3</v>
      </c>
      <c r="AJ153" s="166"/>
      <c r="AK153" s="166"/>
      <c r="AL153" s="166"/>
      <c r="AM153" s="166"/>
      <c r="AN153" s="166"/>
      <c r="AO153" s="166"/>
      <c r="AP153" s="166"/>
      <c r="AQ153" s="166"/>
      <c r="AR153" s="166"/>
      <c r="AS153" s="166"/>
      <c r="AT153" s="166"/>
      <c r="AU153" s="166"/>
      <c r="AV153" s="166"/>
      <c r="AW153" s="166"/>
      <c r="AX153" s="166"/>
      <c r="AY153" s="166"/>
      <c r="AZ153" s="166"/>
      <c r="BA153" s="166"/>
      <c r="BB153" s="166"/>
      <c r="BC153" s="166"/>
      <c r="BD153" s="166"/>
      <c r="BE153" s="166"/>
      <c r="BF153" s="166"/>
      <c r="BG153" s="166"/>
      <c r="BH153" s="166"/>
      <c r="BI153" s="166"/>
      <c r="BJ153" s="166"/>
      <c r="BK153" s="166"/>
      <c r="BL153" s="166"/>
      <c r="BM153" s="166"/>
      <c r="BN153" s="166"/>
      <c r="BO153" s="166"/>
      <c r="BP153" s="166"/>
      <c r="BQ153" s="166"/>
      <c r="BR153" s="166"/>
      <c r="BS153" s="166"/>
      <c r="BT153" s="166"/>
    </row>
    <row r="154" spans="2:257" x14ac:dyDescent="0.3">
      <c r="S154" s="167"/>
      <c r="T154" s="167"/>
      <c r="U154" s="167"/>
      <c r="V154" s="167"/>
      <c r="W154" s="167"/>
      <c r="X154" s="166"/>
      <c r="Y154" s="166"/>
      <c r="Z154" s="166"/>
      <c r="AA154" s="166"/>
      <c r="AB154" s="166"/>
      <c r="AC154" s="166">
        <f t="shared" si="18"/>
        <v>4</v>
      </c>
      <c r="AD154" s="166" t="str">
        <f t="shared" si="19"/>
        <v>Critères techniques calculés conformes aux références de l'Observatoire des Charges de Mécanisation</v>
      </c>
      <c r="AE154" s="166"/>
      <c r="AF154" s="166"/>
      <c r="AG154" s="166"/>
      <c r="AH154" s="166"/>
      <c r="AI154" s="166">
        <f t="shared" si="20"/>
        <v>4</v>
      </c>
      <c r="AJ154" s="166"/>
      <c r="AK154" s="166"/>
      <c r="AL154" s="166"/>
      <c r="AM154" s="166"/>
      <c r="AN154" s="166"/>
      <c r="AO154" s="166"/>
      <c r="AP154" s="166"/>
      <c r="AQ154" s="166"/>
      <c r="AR154" s="166"/>
      <c r="AS154" s="166"/>
      <c r="AT154" s="166"/>
      <c r="AU154" s="166"/>
      <c r="AV154" s="166"/>
      <c r="AW154" s="166"/>
      <c r="AX154" s="166"/>
      <c r="AY154" s="166"/>
      <c r="AZ154" s="166"/>
      <c r="BA154" s="166"/>
      <c r="BB154" s="166"/>
      <c r="BC154" s="166"/>
      <c r="BD154" s="166"/>
      <c r="BE154" s="166"/>
      <c r="BF154" s="166"/>
      <c r="BG154" s="166"/>
      <c r="BH154" s="166"/>
      <c r="BI154" s="166"/>
      <c r="BJ154" s="166"/>
      <c r="BK154" s="166"/>
      <c r="BL154" s="166"/>
      <c r="BM154" s="166"/>
      <c r="BN154" s="166"/>
      <c r="BO154" s="166"/>
      <c r="BP154" s="166"/>
      <c r="BQ154" s="166"/>
      <c r="BR154" s="166"/>
      <c r="BS154" s="166"/>
      <c r="BT154" s="166"/>
    </row>
    <row r="155" spans="2:257" x14ac:dyDescent="0.3">
      <c r="S155" s="167"/>
      <c r="T155" s="167"/>
      <c r="U155" s="167"/>
      <c r="V155" s="167"/>
      <c r="W155" s="167"/>
      <c r="X155" s="166"/>
      <c r="Y155" s="166"/>
      <c r="Z155" s="166"/>
      <c r="AA155" s="166"/>
      <c r="AB155" s="166"/>
      <c r="AC155" s="166">
        <f t="shared" si="18"/>
        <v>5</v>
      </c>
      <c r="AD155" s="166" t="str">
        <f t="shared" si="19"/>
        <v>Critères techniques calculés conformes aux références de l'Observatoire des Charges de Mécanisation</v>
      </c>
      <c r="AE155" s="166"/>
      <c r="AF155" s="166"/>
      <c r="AG155" s="166"/>
      <c r="AH155" s="166"/>
      <c r="AI155" s="166">
        <f t="shared" si="20"/>
        <v>5</v>
      </c>
      <c r="AJ155" s="166"/>
      <c r="AK155" s="166"/>
      <c r="AL155" s="166"/>
      <c r="AM155" s="166"/>
      <c r="AN155" s="166"/>
      <c r="AO155" s="166"/>
      <c r="AP155" s="166"/>
      <c r="AQ155" s="166"/>
      <c r="AR155" s="166"/>
      <c r="AS155" s="166"/>
      <c r="AT155" s="166"/>
      <c r="AU155" s="166"/>
      <c r="AV155" s="166"/>
      <c r="AW155" s="166"/>
      <c r="AX155" s="166"/>
      <c r="AY155" s="166"/>
      <c r="AZ155" s="166"/>
      <c r="BA155" s="166"/>
      <c r="BB155" s="166"/>
      <c r="BC155" s="166"/>
      <c r="BD155" s="166"/>
      <c r="BE155" s="166"/>
      <c r="BF155" s="166"/>
      <c r="BG155" s="166"/>
      <c r="BH155" s="166"/>
      <c r="BI155" s="166"/>
      <c r="BJ155" s="166"/>
      <c r="BK155" s="166"/>
      <c r="BL155" s="166"/>
      <c r="BM155" s="166"/>
      <c r="BN155" s="166"/>
      <c r="BO155" s="166"/>
      <c r="BP155" s="166"/>
      <c r="BQ155" s="166"/>
      <c r="BR155" s="166"/>
      <c r="BS155" s="166"/>
      <c r="BT155" s="166"/>
    </row>
    <row r="156" spans="2:257" ht="17.399999999999999" x14ac:dyDescent="0.3">
      <c r="S156" s="167"/>
      <c r="T156" s="167"/>
      <c r="U156" s="167"/>
      <c r="V156" s="167"/>
      <c r="W156" s="167"/>
      <c r="X156" s="166"/>
      <c r="Y156" s="166"/>
      <c r="Z156" s="166"/>
      <c r="AA156" s="166"/>
      <c r="AB156" s="166"/>
      <c r="AC156" s="166">
        <f t="shared" si="18"/>
        <v>6</v>
      </c>
      <c r="AD156" s="166" t="str">
        <f t="shared" si="19"/>
        <v>Critères techniques calculés conformes aux références de l'Observatoire des Charges de Mécanisation</v>
      </c>
      <c r="AE156" s="166"/>
      <c r="AF156" s="166"/>
      <c r="AG156" s="166"/>
      <c r="AH156" s="166"/>
      <c r="AI156" s="166">
        <f t="shared" si="20"/>
        <v>6</v>
      </c>
      <c r="AJ156" s="687"/>
      <c r="AK156" s="166"/>
      <c r="AL156" s="166"/>
      <c r="AM156" s="166"/>
      <c r="AN156" s="166"/>
      <c r="AO156" s="166"/>
      <c r="AP156" s="166"/>
      <c r="AQ156" s="166"/>
      <c r="AR156" s="166"/>
      <c r="AS156" s="166"/>
      <c r="AT156" s="166"/>
      <c r="AU156" s="166"/>
      <c r="AV156" s="166"/>
      <c r="AW156" s="166"/>
      <c r="AX156" s="166"/>
      <c r="AY156" s="166"/>
      <c r="AZ156" s="166"/>
      <c r="BA156" s="166"/>
      <c r="BB156" s="166"/>
      <c r="BC156" s="166"/>
      <c r="BD156" s="166"/>
      <c r="BE156" s="166"/>
      <c r="BF156" s="166"/>
      <c r="BG156" s="166"/>
      <c r="BH156" s="166"/>
      <c r="BI156" s="166"/>
      <c r="BJ156" s="166"/>
      <c r="BK156" s="166"/>
      <c r="BL156" s="166"/>
      <c r="BM156" s="166"/>
      <c r="BN156" s="166"/>
      <c r="BO156" s="166"/>
      <c r="BP156" s="166"/>
      <c r="BQ156" s="166"/>
      <c r="BR156" s="166"/>
      <c r="BS156" s="166"/>
      <c r="BT156" s="166"/>
    </row>
    <row r="157" spans="2:257" ht="17.399999999999999" x14ac:dyDescent="0.3">
      <c r="S157" s="167"/>
      <c r="T157" s="167"/>
      <c r="U157" s="167"/>
      <c r="V157" s="167"/>
      <c r="W157" s="167"/>
      <c r="X157" s="166"/>
      <c r="Y157" s="166"/>
      <c r="Z157" s="166"/>
      <c r="AA157" s="166"/>
      <c r="AB157" s="166"/>
      <c r="AC157" s="166">
        <f t="shared" si="18"/>
        <v>7</v>
      </c>
      <c r="AD157" s="166" t="str">
        <f t="shared" si="19"/>
        <v>Critères techniques calculés conformes aux références de l'Observatoire des Charges de Mécanisation</v>
      </c>
      <c r="AE157" s="166"/>
      <c r="AF157" s="166"/>
      <c r="AG157" s="166"/>
      <c r="AH157" s="166"/>
      <c r="AI157" s="166">
        <f t="shared" si="20"/>
        <v>7</v>
      </c>
      <c r="AJ157" s="687">
        <f t="shared" ref="AJ157:AJ158" si="21">(AI157)/22</f>
        <v>0.31818181818181818</v>
      </c>
      <c r="AK157" s="166"/>
      <c r="AL157" s="166"/>
      <c r="AM157" s="166"/>
      <c r="AN157" s="166"/>
      <c r="AO157" s="166"/>
      <c r="AP157" s="166"/>
      <c r="AQ157" s="166"/>
      <c r="AR157" s="166"/>
      <c r="AS157" s="166"/>
      <c r="AT157" s="166"/>
      <c r="AU157" s="166"/>
      <c r="AV157" s="166"/>
      <c r="AW157" s="166"/>
      <c r="AX157" s="166"/>
      <c r="AY157" s="166"/>
      <c r="AZ157" s="166"/>
      <c r="BA157" s="166"/>
      <c r="BB157" s="166"/>
      <c r="BC157" s="166"/>
      <c r="BD157" s="166"/>
      <c r="BE157" s="166"/>
      <c r="BF157" s="166"/>
      <c r="BG157" s="166"/>
      <c r="BH157" s="166"/>
      <c r="BI157" s="166"/>
      <c r="BJ157" s="166"/>
      <c r="BK157" s="166"/>
      <c r="BL157" s="166"/>
      <c r="BM157" s="166"/>
      <c r="BN157" s="166"/>
      <c r="BO157" s="166"/>
      <c r="BP157" s="166"/>
      <c r="BQ157" s="166"/>
      <c r="BR157" s="166"/>
      <c r="BS157" s="166"/>
      <c r="BT157" s="166"/>
    </row>
    <row r="158" spans="2:257" ht="17.399999999999999" x14ac:dyDescent="0.3">
      <c r="S158" s="167"/>
      <c r="T158" s="167"/>
      <c r="U158" s="167"/>
      <c r="V158" s="167"/>
      <c r="W158" s="167"/>
      <c r="X158" s="166"/>
      <c r="Y158" s="166"/>
      <c r="Z158" s="166"/>
      <c r="AA158" s="166"/>
      <c r="AB158" s="166"/>
      <c r="AC158" s="166">
        <f t="shared" si="18"/>
        <v>8</v>
      </c>
      <c r="AD158" s="166" t="str">
        <f t="shared" ref="AD158:AD159" si="22">AD$142</f>
        <v>Utiliser les chiffres "objectifs" ou "repères" pour conduire les investissements</v>
      </c>
      <c r="AE158" s="166"/>
      <c r="AF158" s="166"/>
      <c r="AG158" s="166"/>
      <c r="AH158" s="166"/>
      <c r="AI158" s="166">
        <f t="shared" si="20"/>
        <v>8</v>
      </c>
      <c r="AJ158" s="687">
        <f t="shared" si="21"/>
        <v>0.36363636363636365</v>
      </c>
      <c r="AK158" s="166"/>
      <c r="AL158" s="166"/>
      <c r="AM158" s="166"/>
      <c r="AN158" s="166"/>
      <c r="AO158" s="166"/>
      <c r="AP158" s="166"/>
      <c r="AQ158" s="166"/>
      <c r="AR158" s="166"/>
      <c r="AS158" s="166"/>
      <c r="AT158" s="166"/>
      <c r="AU158" s="166"/>
      <c r="AV158" s="166"/>
      <c r="AW158" s="166"/>
      <c r="AX158" s="166"/>
      <c r="AY158" s="166"/>
      <c r="AZ158" s="166"/>
      <c r="BA158" s="166"/>
      <c r="BB158" s="166"/>
      <c r="BC158" s="166"/>
      <c r="BD158" s="166"/>
      <c r="BE158" s="166"/>
      <c r="BF158" s="166"/>
      <c r="BG158" s="166"/>
      <c r="BH158" s="166"/>
      <c r="BI158" s="166"/>
      <c r="BJ158" s="166"/>
      <c r="BK158" s="166"/>
      <c r="BL158" s="166"/>
      <c r="BM158" s="166"/>
      <c r="BN158" s="166"/>
      <c r="BO158" s="166"/>
      <c r="BP158" s="166"/>
      <c r="BQ158" s="166"/>
      <c r="BR158" s="166"/>
      <c r="BS158" s="166"/>
      <c r="BT158" s="166"/>
    </row>
    <row r="159" spans="2:257" ht="17.399999999999999" x14ac:dyDescent="0.3">
      <c r="S159" s="167"/>
      <c r="T159" s="167"/>
      <c r="U159" s="167"/>
      <c r="V159" s="167"/>
      <c r="W159" s="167"/>
      <c r="X159" s="166"/>
      <c r="Y159" s="166"/>
      <c r="Z159" s="166"/>
      <c r="AA159" s="166"/>
      <c r="AB159" s="166"/>
      <c r="AC159" s="166">
        <f t="shared" si="18"/>
        <v>9</v>
      </c>
      <c r="AD159" s="166" t="str">
        <f t="shared" si="22"/>
        <v>Utiliser les chiffres "objectifs" ou "repères" pour conduire les investissements</v>
      </c>
      <c r="AE159" s="166"/>
      <c r="AF159" s="166"/>
      <c r="AG159" s="166"/>
      <c r="AH159" s="166"/>
      <c r="AI159" s="166">
        <f t="shared" si="20"/>
        <v>9</v>
      </c>
      <c r="AJ159" s="687"/>
      <c r="AK159" s="166"/>
      <c r="AL159" s="166"/>
      <c r="AM159" s="166"/>
      <c r="AN159" s="166"/>
      <c r="AO159" s="166"/>
      <c r="AP159" s="166"/>
      <c r="AQ159" s="166"/>
      <c r="AR159" s="166"/>
      <c r="AS159" s="166"/>
      <c r="AT159" s="166"/>
      <c r="AU159" s="166"/>
      <c r="AV159" s="166"/>
      <c r="AW159" s="166"/>
      <c r="AX159" s="166"/>
      <c r="AY159" s="166"/>
      <c r="AZ159" s="166"/>
      <c r="BA159" s="166"/>
      <c r="BB159" s="166"/>
      <c r="BC159" s="166"/>
      <c r="BD159" s="166"/>
      <c r="BE159" s="166"/>
      <c r="BF159" s="166"/>
      <c r="BG159" s="166"/>
      <c r="BH159" s="166"/>
      <c r="BI159" s="166"/>
      <c r="BJ159" s="166"/>
      <c r="BK159" s="166"/>
      <c r="BL159" s="166"/>
      <c r="BM159" s="166"/>
      <c r="BN159" s="166"/>
      <c r="BO159" s="166"/>
      <c r="BP159" s="166"/>
      <c r="BQ159" s="166"/>
      <c r="BR159" s="166"/>
      <c r="BS159" s="166"/>
      <c r="BT159" s="166"/>
    </row>
    <row r="160" spans="2:257" ht="17.399999999999999" x14ac:dyDescent="0.3">
      <c r="S160" s="167"/>
      <c r="T160" s="167"/>
      <c r="U160" s="167"/>
      <c r="V160" s="167"/>
      <c r="W160" s="167"/>
      <c r="X160" s="166"/>
      <c r="Y160" s="166"/>
      <c r="Z160" s="166"/>
      <c r="AA160" s="166"/>
      <c r="AB160" s="166"/>
      <c r="AC160" s="166">
        <f t="shared" si="18"/>
        <v>10</v>
      </c>
      <c r="AD160" s="166" t="str">
        <f>AD$142</f>
        <v>Utiliser les chiffres "objectifs" ou "repères" pour conduire les investissements</v>
      </c>
      <c r="AE160" s="166"/>
      <c r="AF160" s="166"/>
      <c r="AG160" s="166"/>
      <c r="AH160" s="166"/>
      <c r="AI160" s="166">
        <f t="shared" si="20"/>
        <v>10</v>
      </c>
      <c r="AJ160" s="687"/>
      <c r="AK160" s="166"/>
      <c r="AL160" s="166"/>
      <c r="AM160" s="166"/>
      <c r="AN160" s="166"/>
      <c r="AO160" s="166"/>
      <c r="AP160" s="166"/>
      <c r="AQ160" s="166"/>
      <c r="AR160" s="166"/>
      <c r="AS160" s="166"/>
      <c r="AT160" s="166"/>
      <c r="AU160" s="166"/>
      <c r="AV160" s="166"/>
      <c r="AW160" s="166"/>
      <c r="AX160" s="166"/>
      <c r="AY160" s="166"/>
      <c r="AZ160" s="166"/>
      <c r="BA160" s="166"/>
      <c r="BB160" s="166"/>
      <c r="BC160" s="166"/>
      <c r="BD160" s="166"/>
      <c r="BE160" s="166"/>
      <c r="BF160" s="166"/>
      <c r="BG160" s="166"/>
      <c r="BH160" s="166"/>
      <c r="BI160" s="166"/>
      <c r="BJ160" s="166"/>
      <c r="BK160" s="166"/>
      <c r="BL160" s="166"/>
      <c r="BM160" s="166"/>
      <c r="BN160" s="166"/>
      <c r="BO160" s="166"/>
      <c r="BP160" s="166"/>
      <c r="BQ160" s="166"/>
      <c r="BR160" s="166"/>
      <c r="BS160" s="166"/>
      <c r="BT160" s="166"/>
    </row>
    <row r="161" spans="19:72" ht="17.399999999999999" x14ac:dyDescent="0.3">
      <c r="S161" s="167"/>
      <c r="T161" s="167"/>
      <c r="U161" s="167"/>
      <c r="V161" s="167"/>
      <c r="W161" s="167"/>
      <c r="X161" s="166"/>
      <c r="Y161" s="166"/>
      <c r="Z161" s="166"/>
      <c r="AA161" s="166"/>
      <c r="AB161" s="166"/>
      <c r="AC161" s="166">
        <f t="shared" si="18"/>
        <v>11</v>
      </c>
      <c r="AD161" s="166" t="str">
        <f>AD$142</f>
        <v>Utiliser les chiffres "objectifs" ou "repères" pour conduire les investissements</v>
      </c>
      <c r="AE161" s="166"/>
      <c r="AF161" s="166"/>
      <c r="AG161" s="166"/>
      <c r="AH161" s="166"/>
      <c r="AI161" s="166">
        <f t="shared" si="20"/>
        <v>11</v>
      </c>
      <c r="AJ161" s="687"/>
      <c r="AK161" s="166"/>
      <c r="AL161" s="166"/>
      <c r="AM161" s="166"/>
      <c r="AN161" s="166"/>
      <c r="AO161" s="166"/>
      <c r="AP161" s="166"/>
      <c r="AQ161" s="166"/>
      <c r="AR161" s="166"/>
      <c r="AS161" s="166"/>
      <c r="AT161" s="166"/>
      <c r="AU161" s="166"/>
      <c r="AV161" s="166"/>
      <c r="AW161" s="166"/>
      <c r="AX161" s="166"/>
      <c r="AY161" s="166"/>
      <c r="AZ161" s="166"/>
      <c r="BA161" s="166"/>
      <c r="BB161" s="166"/>
      <c r="BC161" s="166"/>
      <c r="BD161" s="166"/>
      <c r="BE161" s="166"/>
      <c r="BF161" s="166"/>
      <c r="BG161" s="166"/>
      <c r="BH161" s="166"/>
      <c r="BI161" s="166"/>
      <c r="BJ161" s="166"/>
      <c r="BK161" s="166"/>
      <c r="BL161" s="166"/>
      <c r="BM161" s="166"/>
      <c r="BN161" s="166"/>
      <c r="BO161" s="166"/>
      <c r="BP161" s="166"/>
      <c r="BQ161" s="166"/>
      <c r="BR161" s="166"/>
      <c r="BS161" s="166"/>
      <c r="BT161" s="166"/>
    </row>
    <row r="162" spans="19:72" ht="17.399999999999999" x14ac:dyDescent="0.3">
      <c r="S162" s="167"/>
      <c r="T162" s="167"/>
      <c r="U162" s="167"/>
      <c r="V162" s="167"/>
      <c r="W162" s="167"/>
      <c r="X162" s="166"/>
      <c r="Y162" s="166"/>
      <c r="Z162" s="166"/>
      <c r="AA162" s="166"/>
      <c r="AB162" s="166"/>
      <c r="AC162" s="166">
        <f t="shared" si="18"/>
        <v>12</v>
      </c>
      <c r="AD162" s="166" t="str">
        <f>AD$142</f>
        <v>Utiliser les chiffres "objectifs" ou "repères" pour conduire les investissements</v>
      </c>
      <c r="AE162" s="166"/>
      <c r="AF162" s="166"/>
      <c r="AG162" s="166"/>
      <c r="AH162" s="166"/>
      <c r="AI162" s="166">
        <f t="shared" si="20"/>
        <v>12</v>
      </c>
      <c r="AJ162" s="687"/>
      <c r="AK162" s="166"/>
      <c r="AL162" s="166"/>
      <c r="AM162" s="166"/>
      <c r="AN162" s="166"/>
      <c r="AO162" s="166"/>
      <c r="AP162" s="166"/>
      <c r="AQ162" s="166"/>
      <c r="AR162" s="166"/>
      <c r="AS162" s="166"/>
      <c r="AT162" s="166"/>
      <c r="AU162" s="166"/>
      <c r="AV162" s="166"/>
      <c r="AW162" s="166"/>
      <c r="AX162" s="166"/>
      <c r="AY162" s="166"/>
      <c r="AZ162" s="166"/>
      <c r="BA162" s="166"/>
      <c r="BB162" s="166"/>
      <c r="BC162" s="166"/>
      <c r="BD162" s="166"/>
      <c r="BE162" s="166"/>
      <c r="BF162" s="166"/>
      <c r="BG162" s="166"/>
      <c r="BH162" s="166"/>
      <c r="BI162" s="166"/>
      <c r="BJ162" s="166"/>
      <c r="BK162" s="166"/>
      <c r="BL162" s="166"/>
      <c r="BM162" s="166"/>
      <c r="BN162" s="166"/>
      <c r="BO162" s="166"/>
      <c r="BP162" s="166"/>
      <c r="BQ162" s="166"/>
      <c r="BR162" s="166"/>
      <c r="BS162" s="166"/>
      <c r="BT162" s="166"/>
    </row>
    <row r="163" spans="19:72" ht="17.399999999999999" x14ac:dyDescent="0.3">
      <c r="S163" s="167"/>
      <c r="T163" s="167"/>
      <c r="U163" s="167"/>
      <c r="V163" s="167"/>
      <c r="W163" s="167"/>
      <c r="X163" s="166"/>
      <c r="Y163" s="166"/>
      <c r="Z163" s="166"/>
      <c r="AA163" s="166"/>
      <c r="AB163" s="166"/>
      <c r="AC163" s="166">
        <f t="shared" si="18"/>
        <v>13</v>
      </c>
      <c r="AD163" s="166" t="str">
        <f t="shared" ref="AD163:AD164" si="23">AD$142</f>
        <v>Utiliser les chiffres "objectifs" ou "repères" pour conduire les investissements</v>
      </c>
      <c r="AE163" s="166"/>
      <c r="AF163" s="166"/>
      <c r="AG163" s="166"/>
      <c r="AH163" s="166"/>
      <c r="AI163" s="166">
        <f t="shared" si="20"/>
        <v>13</v>
      </c>
      <c r="AJ163" s="687"/>
      <c r="AK163" s="166"/>
      <c r="AL163" s="166"/>
      <c r="AM163" s="166"/>
      <c r="AN163" s="166"/>
      <c r="AO163" s="166"/>
      <c r="AP163" s="166"/>
      <c r="AQ163" s="166"/>
      <c r="AR163" s="166"/>
      <c r="AS163" s="166"/>
      <c r="AT163" s="166"/>
      <c r="AU163" s="166"/>
      <c r="AV163" s="166"/>
      <c r="AW163" s="166"/>
      <c r="AX163" s="166"/>
      <c r="AY163" s="166"/>
      <c r="AZ163" s="166"/>
      <c r="BA163" s="166"/>
      <c r="BB163" s="166"/>
      <c r="BC163" s="166"/>
      <c r="BD163" s="166"/>
      <c r="BE163" s="166"/>
      <c r="BF163" s="166"/>
      <c r="BG163" s="166"/>
      <c r="BH163" s="166"/>
      <c r="BI163" s="166"/>
      <c r="BJ163" s="166"/>
      <c r="BK163" s="166"/>
      <c r="BL163" s="166"/>
      <c r="BM163" s="166"/>
      <c r="BN163" s="166"/>
      <c r="BO163" s="166"/>
      <c r="BP163" s="166"/>
      <c r="BQ163" s="166"/>
      <c r="BR163" s="166"/>
      <c r="BS163" s="166"/>
      <c r="BT163" s="166"/>
    </row>
    <row r="164" spans="19:72" ht="17.399999999999999" x14ac:dyDescent="0.3">
      <c r="S164" s="167"/>
      <c r="T164" s="167"/>
      <c r="U164" s="167"/>
      <c r="V164" s="167"/>
      <c r="W164" s="167"/>
      <c r="X164" s="166"/>
      <c r="Y164" s="166"/>
      <c r="Z164" s="166"/>
      <c r="AA164" s="166"/>
      <c r="AB164" s="166"/>
      <c r="AC164" s="166">
        <f t="shared" si="18"/>
        <v>14</v>
      </c>
      <c r="AD164" s="166" t="str">
        <f t="shared" si="23"/>
        <v>Utiliser les chiffres "objectifs" ou "repères" pour conduire les investissements</v>
      </c>
      <c r="AE164" s="166"/>
      <c r="AF164" s="166"/>
      <c r="AG164" s="166"/>
      <c r="AH164" s="166"/>
      <c r="AI164" s="166">
        <f t="shared" si="20"/>
        <v>14</v>
      </c>
      <c r="AJ164" s="687">
        <f t="shared" ref="AJ164:AJ172" si="24">(AI164)/22</f>
        <v>0.63636363636363635</v>
      </c>
      <c r="AK164" s="166"/>
      <c r="AL164" s="166"/>
      <c r="AM164" s="166"/>
      <c r="AN164" s="166"/>
      <c r="AO164" s="166"/>
      <c r="AP164" s="166"/>
      <c r="AQ164" s="166"/>
      <c r="AR164" s="166"/>
      <c r="AS164" s="166"/>
      <c r="AT164" s="166"/>
      <c r="AU164" s="166"/>
      <c r="AV164" s="166"/>
      <c r="AW164" s="166"/>
      <c r="AX164" s="166"/>
      <c r="AY164" s="166"/>
      <c r="AZ164" s="166"/>
      <c r="BA164" s="166"/>
      <c r="BB164" s="166"/>
      <c r="BC164" s="166"/>
      <c r="BD164" s="166"/>
      <c r="BE164" s="166"/>
      <c r="BF164" s="166"/>
      <c r="BG164" s="166"/>
      <c r="BH164" s="166"/>
      <c r="BI164" s="166"/>
      <c r="BJ164" s="166"/>
      <c r="BK164" s="166"/>
      <c r="BL164" s="166"/>
      <c r="BM164" s="166"/>
      <c r="BN164" s="166"/>
      <c r="BO164" s="166"/>
      <c r="BP164" s="166"/>
      <c r="BQ164" s="166"/>
      <c r="BR164" s="166"/>
      <c r="BS164" s="166"/>
      <c r="BT164" s="166"/>
    </row>
    <row r="165" spans="19:72" ht="17.399999999999999" x14ac:dyDescent="0.3">
      <c r="S165" s="167"/>
      <c r="T165" s="167"/>
      <c r="U165" s="167"/>
      <c r="V165" s="167"/>
      <c r="W165" s="167"/>
      <c r="X165" s="166"/>
      <c r="Y165" s="166"/>
      <c r="Z165" s="166"/>
      <c r="AA165" s="166"/>
      <c r="AB165" s="166"/>
      <c r="AC165" s="166">
        <f t="shared" si="18"/>
        <v>15</v>
      </c>
      <c r="AD165" s="166" t="str">
        <f>AD$143</f>
        <v>Utiliser les chiffres "objectifs" ou "repères" pour conduire les investissements</v>
      </c>
      <c r="AE165" s="166"/>
      <c r="AF165" s="166"/>
      <c r="AG165" s="166"/>
      <c r="AH165" s="166"/>
      <c r="AI165" s="166">
        <f t="shared" si="20"/>
        <v>15</v>
      </c>
      <c r="AJ165" s="687">
        <f t="shared" si="24"/>
        <v>0.68181818181818177</v>
      </c>
      <c r="AK165" s="166"/>
      <c r="AL165" s="166"/>
      <c r="AM165" s="166"/>
      <c r="AN165" s="166"/>
      <c r="AO165" s="166"/>
      <c r="AP165" s="166"/>
      <c r="AQ165" s="166"/>
      <c r="AR165" s="166"/>
      <c r="AS165" s="166"/>
      <c r="AT165" s="166"/>
      <c r="AU165" s="166"/>
      <c r="AV165" s="166"/>
      <c r="AW165" s="166"/>
      <c r="AX165" s="166"/>
      <c r="AY165" s="166"/>
      <c r="AZ165" s="166"/>
      <c r="BA165" s="166"/>
      <c r="BB165" s="166"/>
      <c r="BC165" s="166"/>
      <c r="BD165" s="166"/>
      <c r="BE165" s="166"/>
      <c r="BF165" s="166"/>
      <c r="BG165" s="166"/>
      <c r="BH165" s="166"/>
      <c r="BI165" s="166"/>
      <c r="BJ165" s="166"/>
      <c r="BK165" s="166"/>
      <c r="BL165" s="166"/>
      <c r="BM165" s="166"/>
      <c r="BN165" s="166"/>
      <c r="BO165" s="166"/>
      <c r="BP165" s="166"/>
      <c r="BQ165" s="166"/>
      <c r="BR165" s="166"/>
      <c r="BS165" s="166"/>
      <c r="BT165" s="166"/>
    </row>
    <row r="166" spans="19:72" ht="17.399999999999999" x14ac:dyDescent="0.3">
      <c r="S166" s="167"/>
      <c r="T166" s="167"/>
      <c r="U166" s="167"/>
      <c r="V166" s="167"/>
      <c r="W166" s="167"/>
      <c r="X166" s="166"/>
      <c r="Y166" s="166"/>
      <c r="Z166" s="166"/>
      <c r="AA166" s="166"/>
      <c r="AB166" s="166"/>
      <c r="AC166" s="166">
        <f t="shared" si="18"/>
        <v>16</v>
      </c>
      <c r="AD166" s="166" t="str">
        <f t="shared" ref="AD166:AD172" si="25">AD$143</f>
        <v>Utiliser les chiffres "objectifs" ou "repères" pour conduire les investissements</v>
      </c>
      <c r="AE166" s="166"/>
      <c r="AF166" s="166"/>
      <c r="AG166" s="166"/>
      <c r="AH166" s="166"/>
      <c r="AI166" s="166">
        <f t="shared" si="20"/>
        <v>16</v>
      </c>
      <c r="AJ166" s="687"/>
      <c r="AK166" s="166"/>
      <c r="AL166" s="166"/>
      <c r="AM166" s="166"/>
      <c r="AN166" s="166"/>
      <c r="AO166" s="166"/>
      <c r="AP166" s="166"/>
      <c r="AQ166" s="166"/>
      <c r="AR166" s="166"/>
      <c r="AS166" s="166"/>
      <c r="AT166" s="166"/>
      <c r="AU166" s="166"/>
      <c r="AV166" s="166"/>
      <c r="AW166" s="166"/>
      <c r="AX166" s="166"/>
      <c r="AY166" s="166"/>
      <c r="AZ166" s="166"/>
      <c r="BA166" s="166"/>
      <c r="BB166" s="166"/>
      <c r="BC166" s="166"/>
      <c r="BD166" s="166"/>
      <c r="BE166" s="166"/>
      <c r="BF166" s="166"/>
      <c r="BG166" s="166"/>
      <c r="BH166" s="166"/>
      <c r="BI166" s="166"/>
      <c r="BJ166" s="166"/>
      <c r="BK166" s="166"/>
      <c r="BL166" s="166"/>
      <c r="BM166" s="166"/>
      <c r="BN166" s="166"/>
      <c r="BO166" s="166"/>
      <c r="BP166" s="166"/>
      <c r="BQ166" s="166"/>
      <c r="BR166" s="166"/>
      <c r="BS166" s="166"/>
      <c r="BT166" s="166"/>
    </row>
    <row r="167" spans="19:72" ht="17.399999999999999" x14ac:dyDescent="0.3">
      <c r="S167" s="167"/>
      <c r="T167" s="167"/>
      <c r="U167" s="167"/>
      <c r="V167" s="167"/>
      <c r="W167" s="167"/>
      <c r="X167" s="166"/>
      <c r="Y167" s="166"/>
      <c r="Z167" s="166"/>
      <c r="AA167" s="166"/>
      <c r="AB167" s="166"/>
      <c r="AC167" s="166">
        <f t="shared" si="18"/>
        <v>17</v>
      </c>
      <c r="AD167" s="166" t="str">
        <f t="shared" si="25"/>
        <v>Utiliser les chiffres "objectifs" ou "repères" pour conduire les investissements</v>
      </c>
      <c r="AE167" s="166"/>
      <c r="AF167" s="166"/>
      <c r="AG167" s="166"/>
      <c r="AH167" s="166"/>
      <c r="AI167" s="166">
        <f t="shared" si="20"/>
        <v>17</v>
      </c>
      <c r="AJ167" s="687"/>
      <c r="AK167" s="166"/>
      <c r="AL167" s="166"/>
      <c r="AM167" s="166"/>
      <c r="AN167" s="166"/>
      <c r="AO167" s="166"/>
      <c r="AP167" s="166"/>
      <c r="AQ167" s="166"/>
      <c r="AR167" s="166"/>
      <c r="AS167" s="166"/>
      <c r="AT167" s="166"/>
      <c r="AU167" s="166"/>
      <c r="AV167" s="166"/>
      <c r="AW167" s="166"/>
      <c r="AX167" s="166"/>
      <c r="AY167" s="166"/>
      <c r="AZ167" s="166"/>
      <c r="BA167" s="166"/>
      <c r="BB167" s="166"/>
      <c r="BC167" s="166"/>
      <c r="BD167" s="166"/>
      <c r="BE167" s="166"/>
      <c r="BF167" s="166"/>
      <c r="BG167" s="166"/>
      <c r="BH167" s="166"/>
      <c r="BI167" s="166"/>
      <c r="BJ167" s="166"/>
      <c r="BK167" s="166"/>
      <c r="BL167" s="166"/>
      <c r="BM167" s="166"/>
      <c r="BN167" s="166"/>
      <c r="BO167" s="166"/>
      <c r="BP167" s="166"/>
      <c r="BQ167" s="166"/>
      <c r="BR167" s="166"/>
      <c r="BS167" s="166"/>
      <c r="BT167" s="166"/>
    </row>
    <row r="168" spans="19:72" ht="17.399999999999999" x14ac:dyDescent="0.3">
      <c r="S168" s="167"/>
      <c r="T168" s="167"/>
      <c r="U168" s="167"/>
      <c r="V168" s="167"/>
      <c r="W168" s="167"/>
      <c r="X168" s="166"/>
      <c r="Y168" s="166"/>
      <c r="Z168" s="166"/>
      <c r="AA168" s="166"/>
      <c r="AB168" s="166"/>
      <c r="AC168" s="166">
        <f t="shared" si="18"/>
        <v>18</v>
      </c>
      <c r="AD168" s="166" t="str">
        <f t="shared" si="25"/>
        <v>Utiliser les chiffres "objectifs" ou "repères" pour conduire les investissements</v>
      </c>
      <c r="AE168" s="166"/>
      <c r="AF168" s="166"/>
      <c r="AG168" s="166"/>
      <c r="AH168" s="166"/>
      <c r="AI168" s="166">
        <f t="shared" si="20"/>
        <v>18</v>
      </c>
      <c r="AJ168" s="687"/>
      <c r="AK168" s="166"/>
      <c r="AL168" s="166"/>
      <c r="AM168" s="166"/>
      <c r="AN168" s="166"/>
      <c r="AO168" s="166"/>
      <c r="AP168" s="166"/>
      <c r="AQ168" s="166"/>
      <c r="AR168" s="166"/>
      <c r="AS168" s="166"/>
      <c r="AT168" s="166"/>
      <c r="AU168" s="166"/>
      <c r="AV168" s="166"/>
      <c r="AW168" s="166"/>
      <c r="AX168" s="166"/>
      <c r="AY168" s="166"/>
      <c r="AZ168" s="166"/>
      <c r="BA168" s="166"/>
      <c r="BB168" s="166"/>
      <c r="BC168" s="166"/>
      <c r="BD168" s="166"/>
      <c r="BE168" s="166"/>
      <c r="BF168" s="166"/>
      <c r="BG168" s="166"/>
      <c r="BH168" s="166"/>
      <c r="BI168" s="166"/>
      <c r="BJ168" s="166"/>
      <c r="BK168" s="166"/>
      <c r="BL168" s="166"/>
      <c r="BM168" s="166"/>
      <c r="BN168" s="166"/>
      <c r="BO168" s="166"/>
      <c r="BP168" s="166"/>
      <c r="BQ168" s="166"/>
      <c r="BR168" s="166"/>
      <c r="BS168" s="166"/>
      <c r="BT168" s="166"/>
    </row>
    <row r="169" spans="19:72" ht="17.399999999999999" x14ac:dyDescent="0.3">
      <c r="S169" s="167"/>
      <c r="T169" s="167"/>
      <c r="U169" s="167"/>
      <c r="V169" s="167"/>
      <c r="W169" s="167"/>
      <c r="X169" s="166"/>
      <c r="Y169" s="166"/>
      <c r="Z169" s="166"/>
      <c r="AA169" s="166"/>
      <c r="AB169" s="166"/>
      <c r="AC169" s="166">
        <f t="shared" si="18"/>
        <v>19</v>
      </c>
      <c r="AD169" s="166" t="str">
        <f t="shared" si="25"/>
        <v>Utiliser les chiffres "objectifs" ou "repères" pour conduire les investissements</v>
      </c>
      <c r="AE169" s="166"/>
      <c r="AF169" s="166"/>
      <c r="AG169" s="166"/>
      <c r="AH169" s="166"/>
      <c r="AI169" s="166">
        <f t="shared" si="20"/>
        <v>19</v>
      </c>
      <c r="AJ169" s="687"/>
      <c r="AK169" s="166"/>
      <c r="AL169" s="166"/>
      <c r="AM169" s="166"/>
      <c r="AN169" s="166"/>
      <c r="AO169" s="166"/>
      <c r="AP169" s="166"/>
      <c r="AQ169" s="166"/>
      <c r="AR169" s="166"/>
      <c r="AS169" s="166"/>
      <c r="AT169" s="166"/>
      <c r="AU169" s="166"/>
      <c r="AV169" s="166"/>
      <c r="AW169" s="166"/>
      <c r="AX169" s="166"/>
      <c r="AY169" s="166"/>
      <c r="AZ169" s="166"/>
      <c r="BA169" s="166"/>
      <c r="BB169" s="166"/>
      <c r="BC169" s="166"/>
      <c r="BD169" s="166"/>
      <c r="BE169" s="166"/>
      <c r="BF169" s="166"/>
      <c r="BG169" s="166"/>
      <c r="BH169" s="166"/>
      <c r="BI169" s="166"/>
      <c r="BJ169" s="166"/>
      <c r="BK169" s="166"/>
      <c r="BL169" s="166"/>
      <c r="BM169" s="166"/>
      <c r="BN169" s="166"/>
      <c r="BO169" s="166"/>
      <c r="BP169" s="166"/>
      <c r="BQ169" s="166"/>
      <c r="BR169" s="166"/>
      <c r="BS169" s="166"/>
      <c r="BT169" s="166"/>
    </row>
    <row r="170" spans="19:72" ht="17.399999999999999" x14ac:dyDescent="0.3">
      <c r="S170" s="167"/>
      <c r="T170" s="167"/>
      <c r="U170" s="167"/>
      <c r="V170" s="167"/>
      <c r="W170" s="167"/>
      <c r="X170" s="166"/>
      <c r="Y170" s="166"/>
      <c r="Z170" s="166"/>
      <c r="AA170" s="166"/>
      <c r="AB170" s="166"/>
      <c r="AC170" s="166">
        <f t="shared" si="18"/>
        <v>20</v>
      </c>
      <c r="AD170" s="166" t="str">
        <f t="shared" si="25"/>
        <v>Utiliser les chiffres "objectifs" ou "repères" pour conduire les investissements</v>
      </c>
      <c r="AE170" s="166"/>
      <c r="AF170" s="166"/>
      <c r="AG170" s="166"/>
      <c r="AH170" s="166"/>
      <c r="AI170" s="166">
        <f t="shared" si="20"/>
        <v>20</v>
      </c>
      <c r="AJ170" s="687"/>
      <c r="AK170" s="166"/>
      <c r="AL170" s="166"/>
      <c r="AM170" s="166"/>
      <c r="AN170" s="166"/>
      <c r="AO170" s="166"/>
      <c r="AP170" s="166"/>
      <c r="AQ170" s="166"/>
      <c r="AR170" s="166"/>
      <c r="AS170" s="166"/>
      <c r="AT170" s="166"/>
      <c r="AU170" s="166"/>
      <c r="AV170" s="166"/>
      <c r="AW170" s="166"/>
      <c r="AX170" s="166"/>
      <c r="AY170" s="166"/>
      <c r="AZ170" s="166"/>
      <c r="BA170" s="166"/>
      <c r="BB170" s="166"/>
      <c r="BC170" s="166"/>
      <c r="BD170" s="166"/>
      <c r="BE170" s="166"/>
      <c r="BF170" s="166"/>
      <c r="BG170" s="166"/>
      <c r="BH170" s="166"/>
      <c r="BI170" s="166"/>
      <c r="BJ170" s="166"/>
      <c r="BK170" s="166"/>
      <c r="BL170" s="166"/>
      <c r="BM170" s="166"/>
      <c r="BN170" s="166"/>
      <c r="BO170" s="166"/>
      <c r="BP170" s="166"/>
      <c r="BQ170" s="166"/>
      <c r="BR170" s="166"/>
      <c r="BS170" s="166"/>
      <c r="BT170" s="166"/>
    </row>
    <row r="171" spans="19:72" ht="17.399999999999999" x14ac:dyDescent="0.3">
      <c r="S171" s="167"/>
      <c r="T171" s="167"/>
      <c r="U171" s="167"/>
      <c r="V171" s="167"/>
      <c r="W171" s="167"/>
      <c r="X171" s="166"/>
      <c r="Y171" s="166"/>
      <c r="Z171" s="166"/>
      <c r="AA171" s="166"/>
      <c r="AB171" s="166"/>
      <c r="AC171" s="166">
        <f t="shared" si="18"/>
        <v>21</v>
      </c>
      <c r="AD171" s="166" t="str">
        <f t="shared" si="25"/>
        <v>Utiliser les chiffres "objectifs" ou "repères" pour conduire les investissements</v>
      </c>
      <c r="AE171" s="166"/>
      <c r="AF171" s="166"/>
      <c r="AG171" s="166"/>
      <c r="AH171" s="166"/>
      <c r="AI171" s="166">
        <f t="shared" si="20"/>
        <v>21</v>
      </c>
      <c r="AJ171" s="687"/>
      <c r="AK171" s="166"/>
      <c r="AL171" s="166"/>
      <c r="AM171" s="166"/>
      <c r="AN171" s="166"/>
      <c r="AO171" s="166"/>
      <c r="AP171" s="166"/>
      <c r="AQ171" s="166"/>
      <c r="AR171" s="166"/>
      <c r="AS171" s="166"/>
      <c r="AT171" s="166"/>
      <c r="AU171" s="166"/>
      <c r="AV171" s="166"/>
      <c r="AW171" s="166"/>
      <c r="AX171" s="166"/>
      <c r="AY171" s="166"/>
      <c r="AZ171" s="166"/>
      <c r="BA171" s="166"/>
      <c r="BB171" s="166"/>
      <c r="BC171" s="166"/>
      <c r="BD171" s="166"/>
      <c r="BE171" s="166"/>
      <c r="BF171" s="166"/>
      <c r="BG171" s="166"/>
      <c r="BH171" s="166"/>
      <c r="BI171" s="166"/>
      <c r="BJ171" s="166"/>
      <c r="BK171" s="166"/>
      <c r="BL171" s="166"/>
      <c r="BM171" s="166"/>
      <c r="BN171" s="166"/>
      <c r="BO171" s="166"/>
      <c r="BP171" s="166"/>
      <c r="BQ171" s="166"/>
      <c r="BR171" s="166"/>
      <c r="BS171" s="166"/>
      <c r="BT171" s="166"/>
    </row>
    <row r="172" spans="19:72" ht="17.399999999999999" x14ac:dyDescent="0.3">
      <c r="S172" s="167"/>
      <c r="T172" s="167"/>
      <c r="U172" s="167"/>
      <c r="V172" s="167"/>
      <c r="W172" s="167"/>
      <c r="X172" s="166"/>
      <c r="Y172" s="166"/>
      <c r="Z172" s="166"/>
      <c r="AA172" s="166"/>
      <c r="AB172" s="166"/>
      <c r="AC172" s="166">
        <f t="shared" si="18"/>
        <v>22</v>
      </c>
      <c r="AD172" s="166" t="str">
        <f t="shared" si="25"/>
        <v>Utiliser les chiffres "objectifs" ou "repères" pour conduire les investissements</v>
      </c>
      <c r="AE172" s="166"/>
      <c r="AF172" s="166"/>
      <c r="AG172" s="166"/>
      <c r="AH172" s="166"/>
      <c r="AI172" s="166">
        <f t="shared" si="20"/>
        <v>22</v>
      </c>
      <c r="AJ172" s="687">
        <f t="shared" si="24"/>
        <v>1</v>
      </c>
      <c r="AK172" s="166"/>
      <c r="AL172" s="166"/>
      <c r="AM172" s="166"/>
      <c r="AN172" s="166"/>
      <c r="AO172" s="166"/>
      <c r="AP172" s="166"/>
      <c r="AQ172" s="166"/>
      <c r="AR172" s="166"/>
      <c r="AS172" s="166"/>
      <c r="AT172" s="166"/>
      <c r="AU172" s="166"/>
      <c r="AV172" s="166"/>
      <c r="AW172" s="166"/>
      <c r="AX172" s="166"/>
      <c r="AY172" s="166"/>
      <c r="AZ172" s="166"/>
      <c r="BA172" s="166"/>
      <c r="BB172" s="166"/>
      <c r="BC172" s="166"/>
      <c r="BD172" s="166"/>
      <c r="BE172" s="166"/>
      <c r="BF172" s="166"/>
      <c r="BG172" s="166"/>
      <c r="BH172" s="166"/>
      <c r="BI172" s="166"/>
      <c r="BJ172" s="166"/>
      <c r="BK172" s="166"/>
      <c r="BL172" s="166"/>
      <c r="BM172" s="166"/>
      <c r="BN172" s="166"/>
      <c r="BO172" s="166"/>
      <c r="BP172" s="166"/>
      <c r="BQ172" s="166"/>
      <c r="BR172" s="166"/>
      <c r="BS172" s="166"/>
      <c r="BT172" s="166"/>
    </row>
    <row r="173" spans="19:72" x14ac:dyDescent="0.3">
      <c r="S173" s="167"/>
      <c r="T173" s="167"/>
      <c r="U173" s="167"/>
      <c r="V173" s="167"/>
      <c r="W173" s="167"/>
      <c r="X173" s="166"/>
      <c r="Y173" s="166"/>
      <c r="Z173" s="166"/>
      <c r="AA173" s="166"/>
      <c r="AB173" s="166"/>
      <c r="AC173" s="166"/>
      <c r="AD173" s="166"/>
      <c r="AE173" s="166"/>
      <c r="AF173" s="166"/>
      <c r="AG173" s="166"/>
      <c r="AH173" s="166"/>
      <c r="AI173" s="166"/>
      <c r="AJ173" s="166"/>
      <c r="AK173" s="166"/>
      <c r="AL173" s="166"/>
      <c r="AM173" s="166"/>
      <c r="AN173" s="166"/>
      <c r="AO173" s="166"/>
      <c r="AP173" s="166"/>
      <c r="AQ173" s="166"/>
      <c r="AR173" s="166"/>
      <c r="AS173" s="166"/>
      <c r="AT173" s="166"/>
      <c r="AU173" s="166"/>
      <c r="AV173" s="166"/>
      <c r="AW173" s="166"/>
      <c r="AX173" s="166"/>
      <c r="AY173" s="166"/>
      <c r="AZ173" s="166"/>
      <c r="BA173" s="166"/>
      <c r="BB173" s="166"/>
      <c r="BC173" s="166"/>
      <c r="BD173" s="166"/>
      <c r="BE173" s="166"/>
      <c r="BF173" s="166"/>
      <c r="BG173" s="166"/>
      <c r="BH173" s="166"/>
      <c r="BI173" s="166"/>
      <c r="BJ173" s="166"/>
      <c r="BK173" s="166"/>
      <c r="BL173" s="166"/>
      <c r="BM173" s="166"/>
      <c r="BN173" s="166"/>
      <c r="BO173" s="166"/>
      <c r="BP173" s="166"/>
      <c r="BQ173" s="166"/>
      <c r="BR173" s="166"/>
      <c r="BS173" s="166"/>
      <c r="BT173" s="166"/>
    </row>
    <row r="174" spans="19:72" x14ac:dyDescent="0.3">
      <c r="S174" s="167"/>
      <c r="T174" s="167"/>
      <c r="U174" s="167"/>
      <c r="V174" s="167"/>
      <c r="W174" s="167"/>
      <c r="X174" s="166"/>
      <c r="Y174" s="166"/>
      <c r="Z174" s="166"/>
      <c r="AA174" s="166"/>
      <c r="AB174" s="166"/>
      <c r="AC174" s="166"/>
      <c r="AD174" s="166"/>
      <c r="AE174" s="166"/>
      <c r="AF174" s="166"/>
      <c r="AG174" s="166"/>
      <c r="AH174" s="166"/>
      <c r="AI174" s="166"/>
      <c r="AJ174" s="166"/>
      <c r="AK174" s="166"/>
      <c r="AL174" s="166"/>
      <c r="AM174" s="166"/>
      <c r="AN174" s="166"/>
      <c r="AO174" s="166"/>
      <c r="AP174" s="166"/>
      <c r="AQ174" s="166"/>
      <c r="AR174" s="166"/>
      <c r="AS174" s="166"/>
      <c r="AT174" s="166"/>
      <c r="AU174" s="166"/>
      <c r="AV174" s="166"/>
      <c r="AW174" s="166"/>
      <c r="AX174" s="166"/>
      <c r="AY174" s="166"/>
      <c r="AZ174" s="166"/>
      <c r="BA174" s="166"/>
      <c r="BB174" s="166"/>
      <c r="BC174" s="166"/>
      <c r="BD174" s="166"/>
      <c r="BE174" s="166"/>
      <c r="BF174" s="166"/>
      <c r="BG174" s="166"/>
      <c r="BH174" s="166"/>
      <c r="BI174" s="166"/>
      <c r="BJ174" s="166"/>
      <c r="BK174" s="166"/>
      <c r="BL174" s="166"/>
      <c r="BM174" s="166"/>
      <c r="BN174" s="166"/>
      <c r="BO174" s="166"/>
      <c r="BP174" s="166"/>
      <c r="BQ174" s="166"/>
      <c r="BR174" s="166"/>
      <c r="BS174" s="166"/>
      <c r="BT174" s="166"/>
    </row>
    <row r="175" spans="19:72" x14ac:dyDescent="0.3">
      <c r="S175" s="167"/>
      <c r="T175" s="167"/>
      <c r="U175" s="167"/>
      <c r="V175" s="167"/>
      <c r="W175" s="167"/>
      <c r="X175" s="166"/>
      <c r="Y175" s="166"/>
      <c r="Z175" s="166"/>
      <c r="AA175" s="166"/>
      <c r="AB175" s="166"/>
      <c r="AC175" s="166">
        <f>AI175</f>
        <v>0</v>
      </c>
      <c r="AD175" s="166" t="str">
        <f>AD$145</f>
        <v>Très Faible probabilité d'avoir un niveau de charges de mécanisation élevé</v>
      </c>
      <c r="AE175" s="166"/>
      <c r="AF175" s="166"/>
      <c r="AG175" s="166"/>
      <c r="AH175" s="166"/>
      <c r="AI175" s="166">
        <v>0</v>
      </c>
      <c r="AJ175" s="166"/>
      <c r="AK175" s="166"/>
      <c r="AL175" s="166"/>
      <c r="AM175" s="166"/>
      <c r="AN175" s="166"/>
      <c r="AO175" s="166"/>
      <c r="AP175" s="166"/>
      <c r="AQ175" s="166"/>
      <c r="AR175" s="166"/>
      <c r="AS175" s="166"/>
      <c r="AT175" s="166"/>
      <c r="AU175" s="166"/>
      <c r="AV175" s="166"/>
      <c r="AW175" s="166"/>
      <c r="AX175" s="166"/>
      <c r="AY175" s="166"/>
      <c r="AZ175" s="166"/>
      <c r="BA175" s="166"/>
      <c r="BB175" s="166"/>
      <c r="BC175" s="166"/>
      <c r="BD175" s="166"/>
      <c r="BE175" s="166"/>
      <c r="BF175" s="166"/>
      <c r="BG175" s="166"/>
      <c r="BH175" s="166"/>
      <c r="BI175" s="166"/>
      <c r="BJ175" s="166"/>
      <c r="BK175" s="166"/>
      <c r="BL175" s="166"/>
      <c r="BM175" s="166"/>
      <c r="BN175" s="166"/>
      <c r="BO175" s="166"/>
      <c r="BP175" s="166"/>
      <c r="BQ175" s="166"/>
      <c r="BR175" s="166"/>
      <c r="BS175" s="166"/>
      <c r="BT175" s="166"/>
    </row>
    <row r="176" spans="19:72" x14ac:dyDescent="0.3">
      <c r="S176" s="167"/>
      <c r="T176" s="167"/>
      <c r="U176" s="167"/>
      <c r="V176" s="167"/>
      <c r="W176" s="167"/>
      <c r="X176" s="166"/>
      <c r="Y176" s="166"/>
      <c r="Z176" s="166"/>
      <c r="AA176" s="166"/>
      <c r="AB176" s="166"/>
      <c r="AC176" s="166">
        <f t="shared" ref="AC176:AC223" si="26">AI176</f>
        <v>1</v>
      </c>
      <c r="AD176" s="166" t="str">
        <f t="shared" ref="AD176:AD191" si="27">AD$145</f>
        <v>Très Faible probabilité d'avoir un niveau de charges de mécanisation élevé</v>
      </c>
      <c r="AE176" s="166"/>
      <c r="AF176" s="166"/>
      <c r="AG176" s="166"/>
      <c r="AH176" s="166"/>
      <c r="AI176" s="166">
        <f>AI175+1</f>
        <v>1</v>
      </c>
      <c r="AJ176" s="166"/>
      <c r="AK176" s="166"/>
      <c r="AL176" s="166"/>
      <c r="AM176" s="166"/>
      <c r="AN176" s="166"/>
      <c r="AO176" s="166"/>
      <c r="AP176" s="166"/>
      <c r="AQ176" s="166"/>
      <c r="AR176" s="166"/>
      <c r="AS176" s="166"/>
      <c r="AT176" s="166"/>
      <c r="AU176" s="166"/>
      <c r="AV176" s="166"/>
      <c r="AW176" s="166"/>
      <c r="AX176" s="166"/>
      <c r="AY176" s="166"/>
      <c r="AZ176" s="166"/>
      <c r="BA176" s="166"/>
      <c r="BB176" s="166"/>
      <c r="BC176" s="166"/>
      <c r="BD176" s="166"/>
      <c r="BE176" s="166"/>
      <c r="BF176" s="166"/>
      <c r="BG176" s="166"/>
      <c r="BH176" s="166"/>
      <c r="BI176" s="166"/>
      <c r="BJ176" s="166"/>
      <c r="BK176" s="166"/>
      <c r="BL176" s="166"/>
      <c r="BM176" s="166"/>
      <c r="BN176" s="166"/>
      <c r="BO176" s="166"/>
      <c r="BP176" s="166"/>
      <c r="BQ176" s="166"/>
      <c r="BR176" s="166"/>
      <c r="BS176" s="166"/>
      <c r="BT176" s="166"/>
    </row>
    <row r="177" spans="19:72" x14ac:dyDescent="0.3">
      <c r="S177" s="167"/>
      <c r="T177" s="167"/>
      <c r="U177" s="167"/>
      <c r="V177" s="167"/>
      <c r="W177" s="167"/>
      <c r="X177" s="166"/>
      <c r="Y177" s="166"/>
      <c r="Z177" s="166"/>
      <c r="AA177" s="166"/>
      <c r="AB177" s="166"/>
      <c r="AC177" s="166">
        <f t="shared" si="26"/>
        <v>2</v>
      </c>
      <c r="AD177" s="166" t="str">
        <f t="shared" si="27"/>
        <v>Très Faible probabilité d'avoir un niveau de charges de mécanisation élevé</v>
      </c>
      <c r="AE177" s="166"/>
      <c r="AF177" s="166"/>
      <c r="AG177" s="166"/>
      <c r="AH177" s="166"/>
      <c r="AI177" s="166">
        <f t="shared" ref="AI177:AI223" si="28">AI176+1</f>
        <v>2</v>
      </c>
      <c r="AJ177" s="166"/>
      <c r="AK177" s="166"/>
      <c r="AL177" s="166"/>
      <c r="AM177" s="166"/>
      <c r="AN177" s="166"/>
      <c r="AO177" s="166"/>
      <c r="AP177" s="166"/>
      <c r="AQ177" s="166"/>
      <c r="AR177" s="166"/>
      <c r="AS177" s="166"/>
      <c r="AT177" s="166"/>
      <c r="AU177" s="166"/>
      <c r="AV177" s="166"/>
      <c r="AW177" s="166"/>
      <c r="AX177" s="166"/>
      <c r="AY177" s="166"/>
      <c r="AZ177" s="166"/>
      <c r="BA177" s="166"/>
      <c r="BB177" s="166"/>
      <c r="BC177" s="166"/>
      <c r="BD177" s="166"/>
      <c r="BE177" s="166"/>
      <c r="BF177" s="166"/>
      <c r="BG177" s="166"/>
      <c r="BH177" s="166"/>
      <c r="BI177" s="166"/>
      <c r="BJ177" s="166"/>
      <c r="BK177" s="166"/>
      <c r="BL177" s="166"/>
      <c r="BM177" s="166"/>
      <c r="BN177" s="166"/>
      <c r="BO177" s="166"/>
      <c r="BP177" s="166"/>
      <c r="BQ177" s="166"/>
      <c r="BR177" s="166"/>
      <c r="BS177" s="166"/>
      <c r="BT177" s="166"/>
    </row>
    <row r="178" spans="19:72" x14ac:dyDescent="0.3">
      <c r="S178" s="167"/>
      <c r="T178" s="167"/>
      <c r="U178" s="167"/>
      <c r="V178" s="167"/>
      <c r="W178" s="167"/>
      <c r="X178" s="166"/>
      <c r="Y178" s="166"/>
      <c r="Z178" s="166"/>
      <c r="AA178" s="166"/>
      <c r="AB178" s="166"/>
      <c r="AC178" s="166">
        <f t="shared" si="26"/>
        <v>3</v>
      </c>
      <c r="AD178" s="166" t="str">
        <f t="shared" si="27"/>
        <v>Très Faible probabilité d'avoir un niveau de charges de mécanisation élevé</v>
      </c>
      <c r="AE178" s="166"/>
      <c r="AF178" s="166"/>
      <c r="AG178" s="166"/>
      <c r="AH178" s="166"/>
      <c r="AI178" s="166">
        <f t="shared" si="28"/>
        <v>3</v>
      </c>
      <c r="AJ178" s="166"/>
      <c r="AK178" s="166"/>
      <c r="AL178" s="166"/>
      <c r="AM178" s="166"/>
      <c r="AN178" s="166"/>
      <c r="AO178" s="166"/>
      <c r="AP178" s="166"/>
      <c r="AQ178" s="166"/>
      <c r="AR178" s="166"/>
      <c r="AS178" s="166"/>
      <c r="AT178" s="166"/>
      <c r="AU178" s="166"/>
      <c r="AV178" s="166"/>
      <c r="AW178" s="166"/>
      <c r="AX178" s="166"/>
      <c r="AY178" s="166"/>
      <c r="AZ178" s="166"/>
      <c r="BA178" s="166"/>
      <c r="BB178" s="166"/>
      <c r="BC178" s="166"/>
      <c r="BD178" s="166"/>
      <c r="BE178" s="166"/>
      <c r="BF178" s="166"/>
      <c r="BG178" s="166"/>
      <c r="BH178" s="166"/>
      <c r="BI178" s="166"/>
      <c r="BJ178" s="166"/>
      <c r="BK178" s="166"/>
      <c r="BL178" s="166"/>
      <c r="BM178" s="166"/>
      <c r="BN178" s="166"/>
      <c r="BO178" s="166"/>
      <c r="BP178" s="166"/>
      <c r="BQ178" s="166"/>
      <c r="BR178" s="166"/>
      <c r="BS178" s="166"/>
      <c r="BT178" s="166"/>
    </row>
    <row r="179" spans="19:72" x14ac:dyDescent="0.3">
      <c r="S179" s="167"/>
      <c r="T179" s="167"/>
      <c r="U179" s="167"/>
      <c r="V179" s="167"/>
      <c r="W179" s="167"/>
      <c r="X179" s="166"/>
      <c r="Y179" s="166"/>
      <c r="Z179" s="166"/>
      <c r="AA179" s="166"/>
      <c r="AB179" s="166"/>
      <c r="AC179" s="166">
        <f t="shared" si="26"/>
        <v>4</v>
      </c>
      <c r="AD179" s="166" t="str">
        <f t="shared" si="27"/>
        <v>Très Faible probabilité d'avoir un niveau de charges de mécanisation élevé</v>
      </c>
      <c r="AE179" s="166"/>
      <c r="AF179" s="166"/>
      <c r="AG179" s="166"/>
      <c r="AH179" s="166"/>
      <c r="AI179" s="166">
        <f t="shared" si="28"/>
        <v>4</v>
      </c>
      <c r="AJ179" s="166"/>
      <c r="AK179" s="166"/>
      <c r="AL179" s="166"/>
      <c r="AM179" s="166"/>
      <c r="AN179" s="166"/>
      <c r="AO179" s="166"/>
      <c r="AP179" s="166"/>
      <c r="AQ179" s="166"/>
      <c r="AR179" s="166"/>
      <c r="AS179" s="166"/>
      <c r="AT179" s="166"/>
      <c r="AU179" s="166"/>
      <c r="AV179" s="166"/>
      <c r="AW179" s="166"/>
      <c r="AX179" s="166"/>
      <c r="AY179" s="166"/>
      <c r="AZ179" s="166"/>
      <c r="BA179" s="166"/>
      <c r="BB179" s="166"/>
      <c r="BC179" s="166"/>
      <c r="BD179" s="166"/>
      <c r="BE179" s="166"/>
      <c r="BF179" s="166"/>
      <c r="BG179" s="166"/>
      <c r="BH179" s="166"/>
      <c r="BI179" s="166"/>
      <c r="BJ179" s="166"/>
      <c r="BK179" s="166"/>
      <c r="BL179" s="166"/>
      <c r="BM179" s="166"/>
      <c r="BN179" s="166"/>
      <c r="BO179" s="166"/>
      <c r="BP179" s="166"/>
      <c r="BQ179" s="166"/>
      <c r="BR179" s="166"/>
      <c r="BS179" s="166"/>
      <c r="BT179" s="166"/>
    </row>
    <row r="180" spans="19:72" x14ac:dyDescent="0.3">
      <c r="S180" s="167"/>
      <c r="T180" s="167"/>
      <c r="U180" s="167"/>
      <c r="V180" s="167"/>
      <c r="W180" s="167"/>
      <c r="X180" s="166"/>
      <c r="Y180" s="166"/>
      <c r="Z180" s="166"/>
      <c r="AA180" s="166"/>
      <c r="AB180" s="166"/>
      <c r="AC180" s="166">
        <f t="shared" si="26"/>
        <v>5</v>
      </c>
      <c r="AD180" s="166" t="str">
        <f t="shared" si="27"/>
        <v>Très Faible probabilité d'avoir un niveau de charges de mécanisation élevé</v>
      </c>
      <c r="AE180" s="166"/>
      <c r="AF180" s="166"/>
      <c r="AG180" s="166"/>
      <c r="AH180" s="166"/>
      <c r="AI180" s="166">
        <f t="shared" si="28"/>
        <v>5</v>
      </c>
      <c r="AJ180" s="166"/>
      <c r="AK180" s="166"/>
      <c r="AL180" s="166"/>
      <c r="AM180" s="166"/>
      <c r="AN180" s="166"/>
      <c r="AO180" s="166"/>
      <c r="AP180" s="166"/>
      <c r="AQ180" s="166"/>
      <c r="AR180" s="166"/>
      <c r="AS180" s="166"/>
      <c r="AT180" s="166"/>
      <c r="AU180" s="166"/>
      <c r="AV180" s="166"/>
      <c r="AW180" s="166"/>
      <c r="AX180" s="166"/>
      <c r="AY180" s="166"/>
      <c r="AZ180" s="166"/>
      <c r="BA180" s="166"/>
      <c r="BB180" s="166"/>
      <c r="BC180" s="166"/>
      <c r="BD180" s="166"/>
      <c r="BE180" s="166"/>
      <c r="BF180" s="166"/>
      <c r="BG180" s="166"/>
      <c r="BH180" s="166"/>
      <c r="BI180" s="166"/>
      <c r="BJ180" s="166"/>
      <c r="BK180" s="166"/>
      <c r="BL180" s="166"/>
      <c r="BM180" s="166"/>
      <c r="BN180" s="166"/>
      <c r="BO180" s="166"/>
      <c r="BP180" s="166"/>
      <c r="BQ180" s="166"/>
      <c r="BR180" s="166"/>
      <c r="BS180" s="166"/>
      <c r="BT180" s="166"/>
    </row>
    <row r="181" spans="19:72" x14ac:dyDescent="0.3">
      <c r="S181" s="167"/>
      <c r="T181" s="167"/>
      <c r="U181" s="167"/>
      <c r="V181" s="167"/>
      <c r="W181" s="167"/>
      <c r="X181" s="166"/>
      <c r="Y181" s="166"/>
      <c r="Z181" s="166"/>
      <c r="AA181" s="166"/>
      <c r="AB181" s="166"/>
      <c r="AC181" s="166">
        <f t="shared" si="26"/>
        <v>6</v>
      </c>
      <c r="AD181" s="166" t="str">
        <f t="shared" si="27"/>
        <v>Très Faible probabilité d'avoir un niveau de charges de mécanisation élevé</v>
      </c>
      <c r="AE181" s="166"/>
      <c r="AF181" s="166"/>
      <c r="AG181" s="166"/>
      <c r="AH181" s="166"/>
      <c r="AI181" s="166">
        <f t="shared" si="28"/>
        <v>6</v>
      </c>
      <c r="AJ181" s="166"/>
      <c r="AK181" s="166"/>
      <c r="AL181" s="166"/>
      <c r="AM181" s="166"/>
      <c r="AN181" s="166"/>
      <c r="AO181" s="166"/>
      <c r="AP181" s="166"/>
      <c r="AQ181" s="166"/>
      <c r="AR181" s="166"/>
      <c r="AS181" s="166"/>
      <c r="AT181" s="166"/>
      <c r="AU181" s="166"/>
      <c r="AV181" s="166"/>
      <c r="AW181" s="166"/>
      <c r="AX181" s="166"/>
      <c r="AY181" s="166"/>
      <c r="AZ181" s="166"/>
      <c r="BA181" s="166"/>
      <c r="BB181" s="166"/>
      <c r="BC181" s="166"/>
      <c r="BD181" s="166"/>
      <c r="BE181" s="166"/>
      <c r="BF181" s="166"/>
      <c r="BG181" s="166"/>
      <c r="BH181" s="166"/>
      <c r="BI181" s="166"/>
      <c r="BJ181" s="166"/>
      <c r="BK181" s="166"/>
      <c r="BL181" s="166"/>
      <c r="BM181" s="166"/>
      <c r="BN181" s="166"/>
      <c r="BO181" s="166"/>
      <c r="BP181" s="166"/>
      <c r="BQ181" s="166"/>
      <c r="BR181" s="166"/>
      <c r="BS181" s="166"/>
      <c r="BT181" s="166"/>
    </row>
    <row r="182" spans="19:72" x14ac:dyDescent="0.3">
      <c r="S182" s="167"/>
      <c r="T182" s="167"/>
      <c r="U182" s="167"/>
      <c r="V182" s="167"/>
      <c r="W182" s="167"/>
      <c r="X182" s="166"/>
      <c r="Y182" s="166"/>
      <c r="Z182" s="166"/>
      <c r="AA182" s="166"/>
      <c r="AB182" s="166"/>
      <c r="AC182" s="166">
        <f t="shared" si="26"/>
        <v>7</v>
      </c>
      <c r="AD182" s="166" t="str">
        <f t="shared" si="27"/>
        <v>Très Faible probabilité d'avoir un niveau de charges de mécanisation élevé</v>
      </c>
      <c r="AE182" s="166"/>
      <c r="AF182" s="166"/>
      <c r="AG182" s="166"/>
      <c r="AH182" s="166"/>
      <c r="AI182" s="166">
        <f t="shared" si="28"/>
        <v>7</v>
      </c>
      <c r="AJ182" s="166"/>
      <c r="AK182" s="166"/>
      <c r="AL182" s="166"/>
      <c r="AM182" s="166"/>
      <c r="AN182" s="166"/>
      <c r="AO182" s="166"/>
      <c r="AP182" s="166"/>
      <c r="AQ182" s="166"/>
      <c r="AR182" s="166"/>
      <c r="AS182" s="166"/>
      <c r="AT182" s="166"/>
      <c r="AU182" s="166"/>
      <c r="AV182" s="166"/>
      <c r="AW182" s="166"/>
      <c r="AX182" s="166"/>
      <c r="AY182" s="166"/>
      <c r="AZ182" s="166"/>
      <c r="BA182" s="166"/>
      <c r="BB182" s="166"/>
      <c r="BC182" s="166"/>
      <c r="BD182" s="166"/>
      <c r="BE182" s="166"/>
      <c r="BF182" s="166"/>
      <c r="BG182" s="166"/>
      <c r="BH182" s="166"/>
      <c r="BI182" s="166"/>
      <c r="BJ182" s="166"/>
      <c r="BK182" s="166"/>
      <c r="BL182" s="166"/>
      <c r="BM182" s="166"/>
      <c r="BN182" s="166"/>
      <c r="BO182" s="166"/>
      <c r="BP182" s="166"/>
      <c r="BQ182" s="166"/>
      <c r="BR182" s="166"/>
      <c r="BS182" s="166"/>
      <c r="BT182" s="166"/>
    </row>
    <row r="183" spans="19:72" x14ac:dyDescent="0.3">
      <c r="S183" s="167"/>
      <c r="T183" s="167"/>
      <c r="U183" s="167"/>
      <c r="V183" s="167"/>
      <c r="W183" s="167"/>
      <c r="X183" s="166"/>
      <c r="Y183" s="166"/>
      <c r="Z183" s="166"/>
      <c r="AA183" s="166"/>
      <c r="AB183" s="166"/>
      <c r="AC183" s="166">
        <f t="shared" si="26"/>
        <v>8</v>
      </c>
      <c r="AD183" s="166" t="str">
        <f t="shared" si="27"/>
        <v>Très Faible probabilité d'avoir un niveau de charges de mécanisation élevé</v>
      </c>
      <c r="AE183" s="166"/>
      <c r="AF183" s="166"/>
      <c r="AG183" s="166"/>
      <c r="AH183" s="166"/>
      <c r="AI183" s="166">
        <f t="shared" si="28"/>
        <v>8</v>
      </c>
      <c r="AJ183" s="166"/>
      <c r="AK183" s="166"/>
      <c r="AL183" s="166"/>
      <c r="AM183" s="166"/>
      <c r="AN183" s="166"/>
      <c r="AO183" s="166"/>
      <c r="AP183" s="166"/>
      <c r="AQ183" s="166"/>
      <c r="AR183" s="166"/>
      <c r="AS183" s="166"/>
      <c r="AT183" s="166"/>
      <c r="AU183" s="166"/>
      <c r="AV183" s="166"/>
      <c r="AW183" s="166"/>
      <c r="AX183" s="166"/>
      <c r="AY183" s="166"/>
      <c r="AZ183" s="166"/>
      <c r="BA183" s="166"/>
      <c r="BB183" s="166"/>
      <c r="BC183" s="166"/>
      <c r="BD183" s="166"/>
      <c r="BE183" s="166"/>
      <c r="BF183" s="166"/>
      <c r="BG183" s="166"/>
      <c r="BH183" s="166"/>
      <c r="BI183" s="166"/>
      <c r="BJ183" s="166"/>
      <c r="BK183" s="166"/>
      <c r="BL183" s="166"/>
      <c r="BM183" s="166"/>
      <c r="BN183" s="166"/>
      <c r="BO183" s="166"/>
      <c r="BP183" s="166"/>
      <c r="BQ183" s="166"/>
      <c r="BR183" s="166"/>
      <c r="BS183" s="166"/>
      <c r="BT183" s="166"/>
    </row>
    <row r="184" spans="19:72" x14ac:dyDescent="0.3">
      <c r="S184" s="167"/>
      <c r="T184" s="167"/>
      <c r="U184" s="167"/>
      <c r="V184" s="167"/>
      <c r="W184" s="167"/>
      <c r="X184" s="166"/>
      <c r="Y184" s="166"/>
      <c r="Z184" s="166"/>
      <c r="AA184" s="166"/>
      <c r="AB184" s="166"/>
      <c r="AC184" s="166">
        <f t="shared" si="26"/>
        <v>9</v>
      </c>
      <c r="AD184" s="166" t="str">
        <f t="shared" si="27"/>
        <v>Très Faible probabilité d'avoir un niveau de charges de mécanisation élevé</v>
      </c>
      <c r="AE184" s="166"/>
      <c r="AF184" s="166"/>
      <c r="AG184" s="166"/>
      <c r="AH184" s="166"/>
      <c r="AI184" s="166">
        <f t="shared" si="28"/>
        <v>9</v>
      </c>
      <c r="AJ184" s="166"/>
      <c r="AK184" s="166"/>
      <c r="AL184" s="166"/>
      <c r="AM184" s="166"/>
      <c r="AN184" s="166"/>
      <c r="AO184" s="166"/>
      <c r="AP184" s="166"/>
      <c r="AQ184" s="166"/>
      <c r="AR184" s="166"/>
      <c r="AS184" s="166"/>
      <c r="AT184" s="166"/>
      <c r="AU184" s="166"/>
      <c r="AV184" s="166"/>
      <c r="AW184" s="166"/>
      <c r="AX184" s="166"/>
      <c r="AY184" s="166"/>
      <c r="AZ184" s="166"/>
      <c r="BA184" s="166"/>
      <c r="BB184" s="166"/>
      <c r="BC184" s="166"/>
      <c r="BD184" s="166"/>
      <c r="BE184" s="166"/>
      <c r="BF184" s="166"/>
      <c r="BG184" s="166"/>
      <c r="BH184" s="166"/>
      <c r="BI184" s="166"/>
      <c r="BJ184" s="166"/>
      <c r="BK184" s="166"/>
      <c r="BL184" s="166"/>
      <c r="BM184" s="166"/>
      <c r="BN184" s="166"/>
      <c r="BO184" s="166"/>
      <c r="BP184" s="166"/>
      <c r="BQ184" s="166"/>
      <c r="BR184" s="166"/>
      <c r="BS184" s="166"/>
      <c r="BT184" s="166"/>
    </row>
    <row r="185" spans="19:72" x14ac:dyDescent="0.3">
      <c r="S185" s="167"/>
      <c r="T185" s="167"/>
      <c r="U185" s="167"/>
      <c r="V185" s="167"/>
      <c r="W185" s="167"/>
      <c r="X185" s="166"/>
      <c r="Y185" s="166"/>
      <c r="Z185" s="166"/>
      <c r="AA185" s="166"/>
      <c r="AB185" s="166"/>
      <c r="AC185" s="166">
        <f t="shared" si="26"/>
        <v>10</v>
      </c>
      <c r="AD185" s="166" t="str">
        <f t="shared" si="27"/>
        <v>Très Faible probabilité d'avoir un niveau de charges de mécanisation élevé</v>
      </c>
      <c r="AE185" s="166"/>
      <c r="AF185" s="166"/>
      <c r="AG185" s="166"/>
      <c r="AH185" s="166"/>
      <c r="AI185" s="166">
        <f t="shared" si="28"/>
        <v>10</v>
      </c>
      <c r="AJ185" s="166"/>
      <c r="AK185" s="166"/>
      <c r="AL185" s="166"/>
      <c r="AM185" s="166"/>
      <c r="AN185" s="166"/>
      <c r="AO185" s="166"/>
      <c r="AP185" s="166"/>
      <c r="AQ185" s="166"/>
      <c r="AR185" s="166"/>
      <c r="AS185" s="166"/>
      <c r="AT185" s="166"/>
      <c r="AU185" s="166"/>
      <c r="AV185" s="166"/>
      <c r="AW185" s="166"/>
      <c r="AX185" s="166"/>
      <c r="AY185" s="166"/>
      <c r="AZ185" s="166"/>
      <c r="BA185" s="166"/>
      <c r="BB185" s="166"/>
      <c r="BC185" s="166"/>
      <c r="BD185" s="166"/>
      <c r="BE185" s="166"/>
      <c r="BF185" s="166"/>
      <c r="BG185" s="166"/>
      <c r="BH185" s="166"/>
      <c r="BI185" s="166"/>
      <c r="BJ185" s="166"/>
      <c r="BK185" s="166"/>
      <c r="BL185" s="166"/>
      <c r="BM185" s="166"/>
      <c r="BN185" s="166"/>
      <c r="BO185" s="166"/>
      <c r="BP185" s="166"/>
      <c r="BQ185" s="166"/>
      <c r="BR185" s="166"/>
      <c r="BS185" s="166"/>
      <c r="BT185" s="166"/>
    </row>
    <row r="186" spans="19:72" x14ac:dyDescent="0.3">
      <c r="S186" s="167"/>
      <c r="T186" s="167"/>
      <c r="U186" s="167"/>
      <c r="V186" s="167"/>
      <c r="W186" s="167"/>
      <c r="X186" s="166"/>
      <c r="Y186" s="166"/>
      <c r="Z186" s="166"/>
      <c r="AA186" s="166"/>
      <c r="AB186" s="166"/>
      <c r="AC186" s="166">
        <f t="shared" si="26"/>
        <v>11</v>
      </c>
      <c r="AD186" s="166" t="str">
        <f t="shared" si="27"/>
        <v>Très Faible probabilité d'avoir un niveau de charges de mécanisation élevé</v>
      </c>
      <c r="AE186" s="166"/>
      <c r="AF186" s="166"/>
      <c r="AG186" s="166"/>
      <c r="AH186" s="166"/>
      <c r="AI186" s="166">
        <f t="shared" si="28"/>
        <v>11</v>
      </c>
      <c r="AJ186" s="166"/>
      <c r="AK186" s="166"/>
      <c r="AL186" s="166"/>
      <c r="AM186" s="166"/>
      <c r="AN186" s="166"/>
      <c r="AO186" s="166"/>
      <c r="AP186" s="166"/>
      <c r="AQ186" s="166"/>
      <c r="AR186" s="166"/>
      <c r="AS186" s="166"/>
      <c r="AT186" s="166"/>
      <c r="AU186" s="166"/>
      <c r="AV186" s="166"/>
      <c r="AW186" s="166"/>
      <c r="AX186" s="166"/>
      <c r="AY186" s="166"/>
      <c r="AZ186" s="166"/>
      <c r="BA186" s="166"/>
      <c r="BB186" s="166"/>
      <c r="BC186" s="166"/>
      <c r="BD186" s="166"/>
      <c r="BE186" s="166"/>
      <c r="BF186" s="166"/>
      <c r="BG186" s="166"/>
      <c r="BH186" s="166"/>
      <c r="BI186" s="166"/>
      <c r="BJ186" s="166"/>
      <c r="BK186" s="166"/>
      <c r="BL186" s="166"/>
      <c r="BM186" s="166"/>
      <c r="BN186" s="166"/>
      <c r="BO186" s="166"/>
      <c r="BP186" s="166"/>
      <c r="BQ186" s="166"/>
      <c r="BR186" s="166"/>
      <c r="BS186" s="166"/>
      <c r="BT186" s="166"/>
    </row>
    <row r="187" spans="19:72" x14ac:dyDescent="0.3">
      <c r="S187" s="167"/>
      <c r="T187" s="167"/>
      <c r="U187" s="167"/>
      <c r="V187" s="167"/>
      <c r="W187" s="167"/>
      <c r="X187" s="166"/>
      <c r="Y187" s="166"/>
      <c r="Z187" s="166"/>
      <c r="AA187" s="166"/>
      <c r="AB187" s="166"/>
      <c r="AC187" s="166">
        <f t="shared" si="26"/>
        <v>12</v>
      </c>
      <c r="AD187" s="166" t="str">
        <f t="shared" si="27"/>
        <v>Très Faible probabilité d'avoir un niveau de charges de mécanisation élevé</v>
      </c>
      <c r="AE187" s="166"/>
      <c r="AF187" s="166"/>
      <c r="AG187" s="166"/>
      <c r="AH187" s="166"/>
      <c r="AI187" s="166">
        <f t="shared" si="28"/>
        <v>12</v>
      </c>
      <c r="AJ187" s="166"/>
      <c r="AK187" s="166"/>
      <c r="AL187" s="166"/>
      <c r="AM187" s="166"/>
      <c r="AN187" s="166"/>
      <c r="AO187" s="166"/>
      <c r="AP187" s="166"/>
      <c r="AQ187" s="166"/>
      <c r="AR187" s="166"/>
      <c r="AS187" s="166"/>
      <c r="AT187" s="166"/>
      <c r="AU187" s="166"/>
      <c r="AV187" s="166"/>
      <c r="AW187" s="166"/>
      <c r="AX187" s="166"/>
      <c r="AY187" s="166"/>
      <c r="AZ187" s="166"/>
      <c r="BA187" s="166"/>
      <c r="BB187" s="166"/>
      <c r="BC187" s="166"/>
      <c r="BD187" s="166"/>
      <c r="BE187" s="166"/>
      <c r="BF187" s="166"/>
      <c r="BG187" s="166"/>
      <c r="BH187" s="166"/>
      <c r="BI187" s="166"/>
      <c r="BJ187" s="166"/>
      <c r="BK187" s="166"/>
      <c r="BL187" s="166"/>
      <c r="BM187" s="166"/>
      <c r="BN187" s="166"/>
      <c r="BO187" s="166"/>
      <c r="BP187" s="166"/>
      <c r="BQ187" s="166"/>
      <c r="BR187" s="166"/>
      <c r="BS187" s="166"/>
      <c r="BT187" s="166"/>
    </row>
    <row r="188" spans="19:72" x14ac:dyDescent="0.3">
      <c r="S188" s="167"/>
      <c r="T188" s="167"/>
      <c r="U188" s="167"/>
      <c r="V188" s="167"/>
      <c r="W188" s="167"/>
      <c r="X188" s="166"/>
      <c r="Y188" s="166"/>
      <c r="Z188" s="166"/>
      <c r="AA188" s="166"/>
      <c r="AB188" s="166"/>
      <c r="AC188" s="166">
        <f t="shared" si="26"/>
        <v>13</v>
      </c>
      <c r="AD188" s="166" t="str">
        <f t="shared" si="27"/>
        <v>Très Faible probabilité d'avoir un niveau de charges de mécanisation élevé</v>
      </c>
      <c r="AE188" s="166"/>
      <c r="AF188" s="166"/>
      <c r="AG188" s="166"/>
      <c r="AH188" s="166"/>
      <c r="AI188" s="166">
        <f t="shared" si="28"/>
        <v>13</v>
      </c>
      <c r="AJ188" s="166"/>
      <c r="AK188" s="166"/>
      <c r="AL188" s="166"/>
      <c r="AM188" s="166"/>
      <c r="AN188" s="166"/>
      <c r="AO188" s="166"/>
      <c r="AP188" s="166"/>
      <c r="AQ188" s="166"/>
      <c r="AR188" s="166"/>
      <c r="AS188" s="166"/>
      <c r="AT188" s="166"/>
      <c r="AU188" s="166"/>
      <c r="AV188" s="166"/>
      <c r="AW188" s="166"/>
      <c r="AX188" s="166"/>
      <c r="AY188" s="166"/>
      <c r="AZ188" s="166"/>
      <c r="BA188" s="166"/>
      <c r="BB188" s="166"/>
      <c r="BC188" s="166"/>
      <c r="BD188" s="166"/>
      <c r="BE188" s="166"/>
      <c r="BF188" s="166"/>
      <c r="BG188" s="166"/>
      <c r="BH188" s="166"/>
      <c r="BI188" s="166"/>
      <c r="BJ188" s="166"/>
      <c r="BK188" s="166"/>
      <c r="BL188" s="166"/>
      <c r="BM188" s="166"/>
      <c r="BN188" s="166"/>
      <c r="BO188" s="166"/>
      <c r="BP188" s="166"/>
      <c r="BQ188" s="166"/>
      <c r="BR188" s="166"/>
      <c r="BS188" s="166"/>
      <c r="BT188" s="166"/>
    </row>
    <row r="189" spans="19:72" x14ac:dyDescent="0.3">
      <c r="S189" s="167"/>
      <c r="T189" s="167"/>
      <c r="U189" s="167"/>
      <c r="V189" s="167"/>
      <c r="W189" s="167"/>
      <c r="X189" s="166"/>
      <c r="Y189" s="166"/>
      <c r="Z189" s="166"/>
      <c r="AA189" s="166"/>
      <c r="AB189" s="166"/>
      <c r="AC189" s="166">
        <f t="shared" si="26"/>
        <v>14</v>
      </c>
      <c r="AD189" s="166" t="str">
        <f t="shared" si="27"/>
        <v>Très Faible probabilité d'avoir un niveau de charges de mécanisation élevé</v>
      </c>
      <c r="AE189" s="166"/>
      <c r="AF189" s="166"/>
      <c r="AG189" s="166"/>
      <c r="AH189" s="166"/>
      <c r="AI189" s="166">
        <f t="shared" si="28"/>
        <v>14</v>
      </c>
      <c r="AJ189" s="166"/>
      <c r="AK189" s="166"/>
      <c r="AL189" s="166"/>
      <c r="AM189" s="166"/>
      <c r="AN189" s="166"/>
      <c r="AO189" s="166"/>
      <c r="AP189" s="166"/>
      <c r="AQ189" s="166"/>
      <c r="AR189" s="166"/>
      <c r="AS189" s="166"/>
      <c r="AT189" s="166"/>
      <c r="AU189" s="166"/>
      <c r="AV189" s="166"/>
      <c r="AW189" s="166"/>
      <c r="AX189" s="166"/>
      <c r="AY189" s="166"/>
      <c r="AZ189" s="166"/>
      <c r="BA189" s="166"/>
      <c r="BB189" s="166"/>
      <c r="BC189" s="166"/>
      <c r="BD189" s="166"/>
      <c r="BE189" s="166"/>
      <c r="BF189" s="166"/>
      <c r="BG189" s="166"/>
      <c r="BH189" s="166"/>
      <c r="BI189" s="166"/>
      <c r="BJ189" s="166"/>
      <c r="BK189" s="166"/>
      <c r="BL189" s="166"/>
      <c r="BM189" s="166"/>
      <c r="BN189" s="166"/>
      <c r="BO189" s="166"/>
      <c r="BP189" s="166"/>
      <c r="BQ189" s="166"/>
      <c r="BR189" s="166"/>
      <c r="BS189" s="166"/>
      <c r="BT189" s="166"/>
    </row>
    <row r="190" spans="19:72" x14ac:dyDescent="0.3">
      <c r="S190" s="167"/>
      <c r="T190" s="167"/>
      <c r="U190" s="167"/>
      <c r="V190" s="167"/>
      <c r="W190" s="167"/>
      <c r="X190" s="166"/>
      <c r="Y190" s="166"/>
      <c r="Z190" s="166"/>
      <c r="AA190" s="166"/>
      <c r="AB190" s="166"/>
      <c r="AC190" s="166">
        <f t="shared" si="26"/>
        <v>15</v>
      </c>
      <c r="AD190" s="166" t="str">
        <f t="shared" si="27"/>
        <v>Très Faible probabilité d'avoir un niveau de charges de mécanisation élevé</v>
      </c>
      <c r="AE190" s="166"/>
      <c r="AF190" s="166"/>
      <c r="AG190" s="166"/>
      <c r="AH190" s="166"/>
      <c r="AI190" s="166">
        <f t="shared" si="28"/>
        <v>15</v>
      </c>
      <c r="AJ190" s="166"/>
      <c r="AK190" s="166"/>
      <c r="AL190" s="166"/>
      <c r="AM190" s="166"/>
      <c r="AN190" s="166"/>
      <c r="AO190" s="166"/>
      <c r="AP190" s="166"/>
      <c r="AQ190" s="166"/>
      <c r="AR190" s="166"/>
      <c r="AS190" s="166"/>
      <c r="AT190" s="166"/>
      <c r="AU190" s="166"/>
      <c r="AV190" s="166"/>
      <c r="AW190" s="166"/>
      <c r="AX190" s="166"/>
      <c r="AY190" s="166"/>
      <c r="AZ190" s="166"/>
      <c r="BA190" s="166"/>
      <c r="BB190" s="166"/>
      <c r="BC190" s="166"/>
      <c r="BD190" s="166"/>
      <c r="BE190" s="166"/>
      <c r="BF190" s="166"/>
      <c r="BG190" s="166"/>
      <c r="BH190" s="166"/>
      <c r="BI190" s="166"/>
      <c r="BJ190" s="166"/>
      <c r="BK190" s="166"/>
      <c r="BL190" s="166"/>
      <c r="BM190" s="166"/>
      <c r="BN190" s="166"/>
      <c r="BO190" s="166"/>
      <c r="BP190" s="166"/>
      <c r="BQ190" s="166"/>
      <c r="BR190" s="166"/>
      <c r="BS190" s="166"/>
      <c r="BT190" s="166"/>
    </row>
    <row r="191" spans="19:72" ht="17.399999999999999" x14ac:dyDescent="0.3">
      <c r="S191" s="167"/>
      <c r="T191" s="167"/>
      <c r="U191" s="167"/>
      <c r="V191" s="167"/>
      <c r="W191" s="167"/>
      <c r="X191" s="166"/>
      <c r="Y191" s="166"/>
      <c r="Z191" s="166"/>
      <c r="AA191" s="166"/>
      <c r="AB191" s="166"/>
      <c r="AC191" s="166">
        <f t="shared" si="26"/>
        <v>16</v>
      </c>
      <c r="AD191" s="166" t="str">
        <f t="shared" si="27"/>
        <v>Très Faible probabilité d'avoir un niveau de charges de mécanisation élevé</v>
      </c>
      <c r="AE191" s="166"/>
      <c r="AF191" s="166"/>
      <c r="AG191" s="166"/>
      <c r="AH191" s="166"/>
      <c r="AI191" s="166">
        <f t="shared" si="28"/>
        <v>16</v>
      </c>
      <c r="AJ191" s="687">
        <f>AI191/48</f>
        <v>0.33333333333333331</v>
      </c>
      <c r="AK191" s="166"/>
      <c r="AL191" s="166"/>
      <c r="AM191" s="166"/>
      <c r="AN191" s="166"/>
      <c r="AO191" s="166"/>
      <c r="AP191" s="166"/>
      <c r="AQ191" s="166"/>
      <c r="AR191" s="166"/>
      <c r="AS191" s="166"/>
      <c r="AT191" s="166"/>
      <c r="AU191" s="166"/>
      <c r="AV191" s="166"/>
      <c r="AW191" s="166"/>
      <c r="AX191" s="166"/>
      <c r="AY191" s="166"/>
      <c r="AZ191" s="166"/>
      <c r="BA191" s="166"/>
      <c r="BB191" s="166"/>
      <c r="BC191" s="166"/>
      <c r="BD191" s="166"/>
      <c r="BE191" s="166"/>
      <c r="BF191" s="166"/>
      <c r="BG191" s="166"/>
      <c r="BH191" s="166"/>
      <c r="BI191" s="166"/>
      <c r="BJ191" s="166"/>
      <c r="BK191" s="166"/>
      <c r="BL191" s="166"/>
      <c r="BM191" s="166"/>
      <c r="BN191" s="166"/>
      <c r="BO191" s="166"/>
      <c r="BP191" s="166"/>
      <c r="BQ191" s="166"/>
      <c r="BR191" s="166"/>
      <c r="BS191" s="166"/>
      <c r="BT191" s="166"/>
    </row>
    <row r="192" spans="19:72" ht="17.399999999999999" x14ac:dyDescent="0.3">
      <c r="S192" s="167"/>
      <c r="T192" s="167"/>
      <c r="U192" s="167"/>
      <c r="V192" s="167"/>
      <c r="W192" s="167"/>
      <c r="X192" s="166"/>
      <c r="Y192" s="166"/>
      <c r="Z192" s="166"/>
      <c r="AA192" s="166"/>
      <c r="AB192" s="166"/>
      <c r="AC192" s="166">
        <f t="shared" si="26"/>
        <v>17</v>
      </c>
      <c r="AD192" s="166" t="str">
        <f>AD$146</f>
        <v>Faible probabilité d'avoir un niveau de charges de mécanisation élevé</v>
      </c>
      <c r="AE192" s="166"/>
      <c r="AF192" s="166"/>
      <c r="AG192" s="166"/>
      <c r="AH192" s="166"/>
      <c r="AI192" s="166">
        <f t="shared" si="28"/>
        <v>17</v>
      </c>
      <c r="AJ192" s="687">
        <f>AI192/48</f>
        <v>0.35416666666666669</v>
      </c>
      <c r="AK192" s="166"/>
      <c r="AL192" s="166"/>
      <c r="AM192" s="166"/>
      <c r="AN192" s="166"/>
      <c r="AO192" s="166"/>
      <c r="AP192" s="166"/>
      <c r="AQ192" s="166"/>
      <c r="AR192" s="166"/>
      <c r="AS192" s="166"/>
      <c r="AT192" s="166"/>
      <c r="AU192" s="166"/>
      <c r="AV192" s="166"/>
      <c r="AW192" s="166"/>
      <c r="AX192" s="166"/>
      <c r="AY192" s="166"/>
      <c r="AZ192" s="166"/>
      <c r="BA192" s="166"/>
      <c r="BB192" s="166"/>
      <c r="BC192" s="166"/>
      <c r="BD192" s="166"/>
      <c r="BE192" s="166"/>
      <c r="BF192" s="166"/>
      <c r="BG192" s="166"/>
      <c r="BH192" s="166"/>
      <c r="BI192" s="166"/>
      <c r="BJ192" s="166"/>
      <c r="BK192" s="166"/>
      <c r="BL192" s="166"/>
      <c r="BM192" s="166"/>
      <c r="BN192" s="166"/>
      <c r="BO192" s="166"/>
      <c r="BP192" s="166"/>
      <c r="BQ192" s="166"/>
      <c r="BR192" s="166"/>
      <c r="BS192" s="166"/>
      <c r="BT192" s="166"/>
    </row>
    <row r="193" spans="19:72" ht="17.399999999999999" x14ac:dyDescent="0.3">
      <c r="S193" s="167"/>
      <c r="T193" s="167"/>
      <c r="U193" s="167"/>
      <c r="V193" s="167"/>
      <c r="W193" s="167"/>
      <c r="X193" s="166"/>
      <c r="Y193" s="166"/>
      <c r="Z193" s="166"/>
      <c r="AA193" s="166"/>
      <c r="AB193" s="166"/>
      <c r="AC193" s="166">
        <f t="shared" si="26"/>
        <v>18</v>
      </c>
      <c r="AD193" s="166" t="str">
        <f>AD$146</f>
        <v>Faible probabilité d'avoir un niveau de charges de mécanisation élevé</v>
      </c>
      <c r="AE193" s="166"/>
      <c r="AF193" s="166"/>
      <c r="AG193" s="166"/>
      <c r="AH193" s="166"/>
      <c r="AI193" s="166">
        <f t="shared" si="28"/>
        <v>18</v>
      </c>
      <c r="AJ193" s="687"/>
      <c r="AK193" s="166"/>
      <c r="AL193" s="166"/>
      <c r="AM193" s="166"/>
      <c r="AN193" s="166"/>
      <c r="AO193" s="166"/>
      <c r="AP193" s="166"/>
      <c r="AQ193" s="166"/>
      <c r="AR193" s="166"/>
      <c r="AS193" s="166"/>
      <c r="AT193" s="166"/>
      <c r="AU193" s="166"/>
      <c r="AV193" s="166"/>
      <c r="AW193" s="166"/>
      <c r="AX193" s="166"/>
      <c r="AY193" s="166"/>
      <c r="AZ193" s="166"/>
      <c r="BA193" s="166"/>
      <c r="BB193" s="166"/>
      <c r="BC193" s="166"/>
      <c r="BD193" s="166"/>
      <c r="BE193" s="166"/>
      <c r="BF193" s="166"/>
      <c r="BG193" s="166"/>
      <c r="BH193" s="166"/>
      <c r="BI193" s="166"/>
      <c r="BJ193" s="166"/>
      <c r="BK193" s="166"/>
      <c r="BL193" s="166"/>
      <c r="BM193" s="166"/>
      <c r="BN193" s="166"/>
      <c r="BO193" s="166"/>
      <c r="BP193" s="166"/>
      <c r="BQ193" s="166"/>
      <c r="BR193" s="166"/>
      <c r="BS193" s="166"/>
      <c r="BT193" s="166"/>
    </row>
    <row r="194" spans="19:72" ht="17.399999999999999" x14ac:dyDescent="0.3">
      <c r="S194" s="167"/>
      <c r="T194" s="167"/>
      <c r="U194" s="167"/>
      <c r="V194" s="167"/>
      <c r="W194" s="167"/>
      <c r="X194" s="166"/>
      <c r="Y194" s="166"/>
      <c r="Z194" s="166"/>
      <c r="AA194" s="166"/>
      <c r="AB194" s="166"/>
      <c r="AC194" s="166">
        <f t="shared" si="26"/>
        <v>19</v>
      </c>
      <c r="AD194" s="166" t="str">
        <f>AD$146</f>
        <v>Faible probabilité d'avoir un niveau de charges de mécanisation élevé</v>
      </c>
      <c r="AE194" s="166"/>
      <c r="AF194" s="166"/>
      <c r="AG194" s="166"/>
      <c r="AH194" s="166"/>
      <c r="AI194" s="166">
        <f t="shared" si="28"/>
        <v>19</v>
      </c>
      <c r="AJ194" s="687"/>
      <c r="AK194" s="166"/>
      <c r="AL194" s="166"/>
      <c r="AM194" s="166"/>
      <c r="AN194" s="166"/>
      <c r="AO194" s="166"/>
      <c r="AP194" s="166"/>
      <c r="AQ194" s="166"/>
      <c r="AR194" s="166"/>
      <c r="AS194" s="166"/>
      <c r="AT194" s="166"/>
      <c r="AU194" s="166"/>
      <c r="AV194" s="166"/>
      <c r="AW194" s="166"/>
      <c r="AX194" s="166"/>
      <c r="AY194" s="166"/>
      <c r="AZ194" s="166"/>
      <c r="BA194" s="166"/>
      <c r="BB194" s="166"/>
      <c r="BC194" s="166"/>
      <c r="BD194" s="166"/>
      <c r="BE194" s="166"/>
      <c r="BF194" s="166"/>
      <c r="BG194" s="166"/>
      <c r="BH194" s="166"/>
      <c r="BI194" s="166"/>
      <c r="BJ194" s="166"/>
      <c r="BK194" s="166"/>
      <c r="BL194" s="166"/>
      <c r="BM194" s="166"/>
      <c r="BN194" s="166"/>
      <c r="BO194" s="166"/>
      <c r="BP194" s="166"/>
      <c r="BQ194" s="166"/>
      <c r="BR194" s="166"/>
      <c r="BS194" s="166"/>
      <c r="BT194" s="166"/>
    </row>
    <row r="195" spans="19:72" ht="17.399999999999999" x14ac:dyDescent="0.3">
      <c r="S195" s="167"/>
      <c r="T195" s="167"/>
      <c r="U195" s="167"/>
      <c r="V195" s="167"/>
      <c r="W195" s="167"/>
      <c r="X195" s="166"/>
      <c r="Y195" s="166"/>
      <c r="Z195" s="166"/>
      <c r="AA195" s="166"/>
      <c r="AB195" s="166"/>
      <c r="AC195" s="166">
        <f t="shared" si="26"/>
        <v>20</v>
      </c>
      <c r="AD195" s="166" t="str">
        <f t="shared" ref="AD195:AD201" si="29">AD$146</f>
        <v>Faible probabilité d'avoir un niveau de charges de mécanisation élevé</v>
      </c>
      <c r="AE195" s="166"/>
      <c r="AF195" s="166"/>
      <c r="AG195" s="166"/>
      <c r="AH195" s="166"/>
      <c r="AI195" s="166">
        <f t="shared" si="28"/>
        <v>20</v>
      </c>
      <c r="AJ195" s="687"/>
      <c r="AK195" s="166"/>
      <c r="AL195" s="166"/>
      <c r="AM195" s="166"/>
      <c r="AN195" s="166"/>
      <c r="AO195" s="166"/>
      <c r="AP195" s="166"/>
      <c r="AQ195" s="166"/>
      <c r="AR195" s="166"/>
      <c r="AS195" s="166"/>
      <c r="AT195" s="166"/>
      <c r="AU195" s="166"/>
      <c r="AV195" s="166"/>
      <c r="AW195" s="166"/>
      <c r="AX195" s="166"/>
      <c r="AY195" s="166"/>
      <c r="AZ195" s="166"/>
      <c r="BA195" s="166"/>
      <c r="BB195" s="166"/>
      <c r="BC195" s="166"/>
      <c r="BD195" s="166"/>
      <c r="BE195" s="166"/>
      <c r="BF195" s="166"/>
      <c r="BG195" s="166"/>
      <c r="BH195" s="166"/>
      <c r="BI195" s="166"/>
      <c r="BJ195" s="166"/>
      <c r="BK195" s="166"/>
      <c r="BL195" s="166"/>
      <c r="BM195" s="166"/>
      <c r="BN195" s="166"/>
      <c r="BO195" s="166"/>
      <c r="BP195" s="166"/>
      <c r="BQ195" s="166"/>
      <c r="BR195" s="166"/>
      <c r="BS195" s="166"/>
      <c r="BT195" s="166"/>
    </row>
    <row r="196" spans="19:72" ht="17.399999999999999" x14ac:dyDescent="0.3">
      <c r="S196" s="167"/>
      <c r="T196" s="167"/>
      <c r="U196" s="167"/>
      <c r="V196" s="167"/>
      <c r="W196" s="167"/>
      <c r="X196" s="166"/>
      <c r="Y196" s="166"/>
      <c r="Z196" s="166"/>
      <c r="AA196" s="166"/>
      <c r="AB196" s="166"/>
      <c r="AC196" s="166">
        <f t="shared" si="26"/>
        <v>21</v>
      </c>
      <c r="AD196" s="166" t="str">
        <f t="shared" si="29"/>
        <v>Faible probabilité d'avoir un niveau de charges de mécanisation élevé</v>
      </c>
      <c r="AE196" s="166"/>
      <c r="AF196" s="166"/>
      <c r="AG196" s="166"/>
      <c r="AH196" s="166"/>
      <c r="AI196" s="166">
        <f t="shared" si="28"/>
        <v>21</v>
      </c>
      <c r="AJ196" s="687"/>
      <c r="AK196" s="166"/>
      <c r="AL196" s="166"/>
      <c r="AM196" s="166"/>
      <c r="AN196" s="166"/>
      <c r="AO196" s="166"/>
      <c r="AP196" s="166"/>
      <c r="AQ196" s="166"/>
      <c r="AR196" s="166"/>
      <c r="AS196" s="166"/>
      <c r="AT196" s="166"/>
      <c r="AU196" s="166"/>
      <c r="AV196" s="166"/>
      <c r="AW196" s="166"/>
      <c r="AX196" s="166"/>
      <c r="AY196" s="166"/>
      <c r="AZ196" s="166"/>
      <c r="BA196" s="166"/>
      <c r="BB196" s="166"/>
      <c r="BC196" s="166"/>
      <c r="BD196" s="166"/>
      <c r="BE196" s="166"/>
      <c r="BF196" s="166"/>
      <c r="BG196" s="166"/>
      <c r="BH196" s="166"/>
      <c r="BI196" s="166"/>
      <c r="BJ196" s="166"/>
      <c r="BK196" s="166"/>
      <c r="BL196" s="166"/>
      <c r="BM196" s="166"/>
      <c r="BN196" s="166"/>
      <c r="BO196" s="166"/>
      <c r="BP196" s="166"/>
      <c r="BQ196" s="166"/>
      <c r="BR196" s="166"/>
      <c r="BS196" s="166"/>
      <c r="BT196" s="166"/>
    </row>
    <row r="197" spans="19:72" ht="17.399999999999999" x14ac:dyDescent="0.3">
      <c r="S197" s="167"/>
      <c r="T197" s="167"/>
      <c r="U197" s="167"/>
      <c r="V197" s="167"/>
      <c r="W197" s="167"/>
      <c r="X197" s="166"/>
      <c r="Y197" s="166"/>
      <c r="Z197" s="166"/>
      <c r="AA197" s="166"/>
      <c r="AB197" s="166"/>
      <c r="AC197" s="166">
        <f t="shared" si="26"/>
        <v>22</v>
      </c>
      <c r="AD197" s="166" t="str">
        <f t="shared" si="29"/>
        <v>Faible probabilité d'avoir un niveau de charges de mécanisation élevé</v>
      </c>
      <c r="AE197" s="166"/>
      <c r="AF197" s="166"/>
      <c r="AG197" s="166"/>
      <c r="AH197" s="166"/>
      <c r="AI197" s="166">
        <f t="shared" si="28"/>
        <v>22</v>
      </c>
      <c r="AJ197" s="687"/>
      <c r="AK197" s="166"/>
      <c r="AL197" s="166"/>
      <c r="AM197" s="166"/>
      <c r="AN197" s="166"/>
      <c r="AO197" s="166"/>
      <c r="AP197" s="166"/>
      <c r="AQ197" s="166"/>
      <c r="AR197" s="166"/>
      <c r="AS197" s="166"/>
      <c r="AT197" s="166"/>
      <c r="AU197" s="166"/>
      <c r="AV197" s="166"/>
      <c r="AW197" s="166"/>
      <c r="AX197" s="166"/>
      <c r="AY197" s="166"/>
      <c r="AZ197" s="166"/>
      <c r="BA197" s="166"/>
      <c r="BB197" s="166"/>
      <c r="BC197" s="166"/>
      <c r="BD197" s="166"/>
      <c r="BE197" s="166"/>
      <c r="BF197" s="166"/>
      <c r="BG197" s="166"/>
      <c r="BH197" s="166"/>
      <c r="BI197" s="166"/>
      <c r="BJ197" s="166"/>
      <c r="BK197" s="166"/>
      <c r="BL197" s="166"/>
      <c r="BM197" s="166"/>
      <c r="BN197" s="166"/>
      <c r="BO197" s="166"/>
      <c r="BP197" s="166"/>
      <c r="BQ197" s="166"/>
      <c r="BR197" s="166"/>
      <c r="BS197" s="166"/>
      <c r="BT197" s="166"/>
    </row>
    <row r="198" spans="19:72" ht="17.399999999999999" x14ac:dyDescent="0.3">
      <c r="S198" s="167"/>
      <c r="T198" s="167"/>
      <c r="U198" s="167"/>
      <c r="V198" s="167"/>
      <c r="W198" s="167"/>
      <c r="X198" s="166"/>
      <c r="Y198" s="166"/>
      <c r="Z198" s="166"/>
      <c r="AA198" s="166"/>
      <c r="AB198" s="166"/>
      <c r="AC198" s="166">
        <f t="shared" si="26"/>
        <v>23</v>
      </c>
      <c r="AD198" s="166" t="str">
        <f t="shared" si="29"/>
        <v>Faible probabilité d'avoir un niveau de charges de mécanisation élevé</v>
      </c>
      <c r="AE198" s="166"/>
      <c r="AF198" s="166"/>
      <c r="AG198" s="166"/>
      <c r="AH198" s="166"/>
      <c r="AI198" s="166">
        <f t="shared" si="28"/>
        <v>23</v>
      </c>
      <c r="AJ198" s="687"/>
      <c r="AK198" s="166"/>
      <c r="AL198" s="166"/>
      <c r="AM198" s="166"/>
      <c r="AN198" s="166"/>
      <c r="AO198" s="166"/>
      <c r="AP198" s="166"/>
      <c r="AQ198" s="166"/>
      <c r="AR198" s="166"/>
      <c r="AS198" s="166"/>
      <c r="AT198" s="166"/>
      <c r="AU198" s="166"/>
      <c r="AV198" s="166"/>
      <c r="AW198" s="166"/>
      <c r="AX198" s="166"/>
      <c r="AY198" s="166"/>
      <c r="AZ198" s="166"/>
      <c r="BA198" s="166"/>
      <c r="BB198" s="166"/>
      <c r="BC198" s="166"/>
      <c r="BD198" s="166"/>
      <c r="BE198" s="166"/>
      <c r="BF198" s="166"/>
      <c r="BG198" s="166"/>
      <c r="BH198" s="166"/>
      <c r="BI198" s="166"/>
      <c r="BJ198" s="166"/>
      <c r="BK198" s="166"/>
      <c r="BL198" s="166"/>
      <c r="BM198" s="166"/>
      <c r="BN198" s="166"/>
      <c r="BO198" s="166"/>
      <c r="BP198" s="166"/>
      <c r="BQ198" s="166"/>
      <c r="BR198" s="166"/>
      <c r="BS198" s="166"/>
      <c r="BT198" s="166"/>
    </row>
    <row r="199" spans="19:72" ht="17.399999999999999" x14ac:dyDescent="0.3">
      <c r="S199" s="167"/>
      <c r="T199" s="167"/>
      <c r="U199" s="167"/>
      <c r="V199" s="167"/>
      <c r="W199" s="167"/>
      <c r="X199" s="166"/>
      <c r="Y199" s="166"/>
      <c r="Z199" s="166"/>
      <c r="AA199" s="166"/>
      <c r="AB199" s="166"/>
      <c r="AC199" s="166">
        <f t="shared" si="26"/>
        <v>24</v>
      </c>
      <c r="AD199" s="166" t="str">
        <f t="shared" si="29"/>
        <v>Faible probabilité d'avoir un niveau de charges de mécanisation élevé</v>
      </c>
      <c r="AE199" s="166"/>
      <c r="AF199" s="166"/>
      <c r="AG199" s="166"/>
      <c r="AH199" s="166"/>
      <c r="AI199" s="166">
        <f t="shared" si="28"/>
        <v>24</v>
      </c>
      <c r="AJ199" s="687"/>
      <c r="AK199" s="166"/>
      <c r="AL199" s="166"/>
      <c r="AM199" s="166"/>
      <c r="AN199" s="166"/>
      <c r="AO199" s="166"/>
      <c r="AP199" s="166"/>
      <c r="AQ199" s="166"/>
      <c r="AR199" s="166"/>
      <c r="AS199" s="166"/>
      <c r="AT199" s="166"/>
      <c r="AU199" s="166"/>
      <c r="AV199" s="166"/>
      <c r="AW199" s="166"/>
      <c r="AX199" s="166"/>
      <c r="AY199" s="166"/>
      <c r="AZ199" s="166"/>
      <c r="BA199" s="166"/>
      <c r="BB199" s="166"/>
      <c r="BC199" s="166"/>
      <c r="BD199" s="166"/>
      <c r="BE199" s="166"/>
      <c r="BF199" s="166"/>
      <c r="BG199" s="166"/>
      <c r="BH199" s="166"/>
      <c r="BI199" s="166"/>
      <c r="BJ199" s="166"/>
      <c r="BK199" s="166"/>
      <c r="BL199" s="166"/>
      <c r="BM199" s="166"/>
      <c r="BN199" s="166"/>
      <c r="BO199" s="166"/>
      <c r="BP199" s="166"/>
      <c r="BQ199" s="166"/>
      <c r="BR199" s="166"/>
      <c r="BS199" s="166"/>
      <c r="BT199" s="166"/>
    </row>
    <row r="200" spans="19:72" ht="17.399999999999999" x14ac:dyDescent="0.3">
      <c r="S200" s="167"/>
      <c r="T200" s="167"/>
      <c r="U200" s="167"/>
      <c r="V200" s="167"/>
      <c r="W200" s="167"/>
      <c r="X200" s="166"/>
      <c r="Y200" s="166"/>
      <c r="Z200" s="166"/>
      <c r="AA200" s="166"/>
      <c r="AB200" s="166"/>
      <c r="AC200" s="166">
        <f t="shared" si="26"/>
        <v>25</v>
      </c>
      <c r="AD200" s="166" t="str">
        <f t="shared" si="29"/>
        <v>Faible probabilité d'avoir un niveau de charges de mécanisation élevé</v>
      </c>
      <c r="AE200" s="166"/>
      <c r="AF200" s="166"/>
      <c r="AG200" s="166"/>
      <c r="AH200" s="166"/>
      <c r="AI200" s="166">
        <f t="shared" si="28"/>
        <v>25</v>
      </c>
      <c r="AJ200" s="687"/>
      <c r="AK200" s="166"/>
      <c r="AL200" s="166"/>
      <c r="AM200" s="166"/>
      <c r="AN200" s="166"/>
      <c r="AO200" s="166"/>
      <c r="AP200" s="166"/>
      <c r="AQ200" s="166"/>
      <c r="AR200" s="166"/>
      <c r="AS200" s="166"/>
      <c r="AT200" s="166"/>
      <c r="AU200" s="166"/>
      <c r="AV200" s="166"/>
      <c r="AW200" s="166"/>
      <c r="AX200" s="166"/>
      <c r="AY200" s="166"/>
      <c r="AZ200" s="166"/>
      <c r="BA200" s="166"/>
      <c r="BB200" s="166"/>
      <c r="BC200" s="166"/>
      <c r="BD200" s="166"/>
      <c r="BE200" s="166"/>
      <c r="BF200" s="166"/>
      <c r="BG200" s="166"/>
      <c r="BH200" s="166"/>
      <c r="BI200" s="166"/>
      <c r="BJ200" s="166"/>
      <c r="BK200" s="166"/>
      <c r="BL200" s="166"/>
      <c r="BM200" s="166"/>
      <c r="BN200" s="166"/>
      <c r="BO200" s="166"/>
      <c r="BP200" s="166"/>
      <c r="BQ200" s="166"/>
      <c r="BR200" s="166"/>
      <c r="BS200" s="166"/>
      <c r="BT200" s="166"/>
    </row>
    <row r="201" spans="19:72" ht="17.399999999999999" x14ac:dyDescent="0.3">
      <c r="S201" s="167"/>
      <c r="T201" s="167"/>
      <c r="U201" s="167"/>
      <c r="V201" s="167"/>
      <c r="W201" s="167"/>
      <c r="X201" s="166"/>
      <c r="Y201" s="166"/>
      <c r="Z201" s="166"/>
      <c r="AA201" s="166"/>
      <c r="AB201" s="166"/>
      <c r="AC201" s="166">
        <f t="shared" si="26"/>
        <v>26</v>
      </c>
      <c r="AD201" s="166" t="str">
        <f t="shared" si="29"/>
        <v>Faible probabilité d'avoir un niveau de charges de mécanisation élevé</v>
      </c>
      <c r="AE201" s="166"/>
      <c r="AF201" s="166"/>
      <c r="AG201" s="166"/>
      <c r="AH201" s="166"/>
      <c r="AI201" s="166">
        <f t="shared" si="28"/>
        <v>26</v>
      </c>
      <c r="AJ201" s="687">
        <f t="shared" ref="AJ201:AJ202" si="30">AI201/48</f>
        <v>0.54166666666666663</v>
      </c>
      <c r="AK201" s="166"/>
      <c r="AL201" s="166"/>
      <c r="AM201" s="166"/>
      <c r="AN201" s="166"/>
      <c r="AO201" s="166"/>
      <c r="AP201" s="166"/>
      <c r="AQ201" s="166"/>
      <c r="AR201" s="166"/>
      <c r="AS201" s="166"/>
      <c r="AT201" s="166"/>
      <c r="AU201" s="166"/>
      <c r="AV201" s="166"/>
      <c r="AW201" s="166"/>
      <c r="AX201" s="166"/>
      <c r="AY201" s="166"/>
      <c r="AZ201" s="166"/>
      <c r="BA201" s="166"/>
      <c r="BB201" s="166"/>
      <c r="BC201" s="166"/>
      <c r="BD201" s="166"/>
      <c r="BE201" s="166"/>
      <c r="BF201" s="166"/>
      <c r="BG201" s="166"/>
      <c r="BH201" s="166"/>
      <c r="BI201" s="166"/>
      <c r="BJ201" s="166"/>
      <c r="BK201" s="166"/>
      <c r="BL201" s="166"/>
      <c r="BM201" s="166"/>
      <c r="BN201" s="166"/>
      <c r="BO201" s="166"/>
      <c r="BP201" s="166"/>
      <c r="BQ201" s="166"/>
      <c r="BR201" s="166"/>
      <c r="BS201" s="166"/>
      <c r="BT201" s="166"/>
    </row>
    <row r="202" spans="19:72" ht="17.399999999999999" x14ac:dyDescent="0.3">
      <c r="S202" s="167"/>
      <c r="T202" s="167"/>
      <c r="U202" s="167"/>
      <c r="V202" s="167"/>
      <c r="W202" s="167"/>
      <c r="X202" s="166"/>
      <c r="Y202" s="166"/>
      <c r="Z202" s="166"/>
      <c r="AA202" s="166"/>
      <c r="AB202" s="166"/>
      <c r="AC202" s="166">
        <f t="shared" si="26"/>
        <v>27</v>
      </c>
      <c r="AD202" s="166" t="str">
        <f t="shared" ref="AD202:AD205" si="31">AD$147</f>
        <v>Forte probabilité d'avoir un niveau de charges de mécanisation élevé</v>
      </c>
      <c r="AE202" s="166"/>
      <c r="AF202" s="166"/>
      <c r="AG202" s="166"/>
      <c r="AH202" s="166"/>
      <c r="AI202" s="166">
        <f t="shared" si="28"/>
        <v>27</v>
      </c>
      <c r="AJ202" s="687">
        <f t="shared" si="30"/>
        <v>0.5625</v>
      </c>
      <c r="AK202" s="166"/>
      <c r="AL202" s="166"/>
      <c r="AM202" s="166"/>
      <c r="AN202" s="166"/>
      <c r="AO202" s="166"/>
      <c r="AP202" s="166"/>
      <c r="AQ202" s="166"/>
      <c r="AR202" s="166"/>
      <c r="AS202" s="166"/>
      <c r="AT202" s="166"/>
      <c r="AU202" s="166"/>
      <c r="AV202" s="166"/>
      <c r="AW202" s="166"/>
      <c r="AX202" s="166"/>
      <c r="AY202" s="166"/>
      <c r="AZ202" s="166"/>
      <c r="BA202" s="166"/>
      <c r="BB202" s="166"/>
      <c r="BC202" s="166"/>
      <c r="BD202" s="166"/>
      <c r="BE202" s="166"/>
      <c r="BF202" s="166"/>
      <c r="BG202" s="166"/>
      <c r="BH202" s="166"/>
      <c r="BI202" s="166"/>
      <c r="BJ202" s="166"/>
      <c r="BK202" s="166"/>
      <c r="BL202" s="166"/>
      <c r="BM202" s="166"/>
      <c r="BN202" s="166"/>
      <c r="BO202" s="166"/>
      <c r="BP202" s="166"/>
      <c r="BQ202" s="166"/>
      <c r="BR202" s="166"/>
      <c r="BS202" s="166"/>
      <c r="BT202" s="166"/>
    </row>
    <row r="203" spans="19:72" ht="17.399999999999999" x14ac:dyDescent="0.3">
      <c r="S203" s="167"/>
      <c r="T203" s="167"/>
      <c r="U203" s="167"/>
      <c r="V203" s="167"/>
      <c r="W203" s="167"/>
      <c r="X203" s="166"/>
      <c r="Y203" s="166"/>
      <c r="Z203" s="166"/>
      <c r="AA203" s="166"/>
      <c r="AB203" s="166"/>
      <c r="AC203" s="166">
        <f t="shared" si="26"/>
        <v>28</v>
      </c>
      <c r="AD203" s="166" t="str">
        <f t="shared" si="31"/>
        <v>Forte probabilité d'avoir un niveau de charges de mécanisation élevé</v>
      </c>
      <c r="AE203" s="166"/>
      <c r="AF203" s="166"/>
      <c r="AG203" s="166"/>
      <c r="AH203" s="166"/>
      <c r="AI203" s="166">
        <f t="shared" si="28"/>
        <v>28</v>
      </c>
      <c r="AJ203" s="687"/>
      <c r="AK203" s="166"/>
      <c r="AL203" s="166"/>
      <c r="AM203" s="166"/>
      <c r="AN203" s="166"/>
      <c r="AO203" s="166"/>
      <c r="AP203" s="166"/>
      <c r="AQ203" s="166"/>
      <c r="AR203" s="166"/>
      <c r="AS203" s="166"/>
      <c r="AT203" s="166"/>
      <c r="AU203" s="166"/>
      <c r="AV203" s="166"/>
      <c r="AW203" s="166"/>
      <c r="AX203" s="166"/>
      <c r="AY203" s="166"/>
      <c r="AZ203" s="166"/>
      <c r="BA203" s="166"/>
      <c r="BB203" s="166"/>
      <c r="BC203" s="166"/>
      <c r="BD203" s="166"/>
      <c r="BE203" s="166"/>
      <c r="BF203" s="166"/>
      <c r="BG203" s="166"/>
      <c r="BH203" s="166"/>
      <c r="BI203" s="166"/>
      <c r="BJ203" s="166"/>
      <c r="BK203" s="166"/>
      <c r="BL203" s="166"/>
      <c r="BM203" s="166"/>
      <c r="BN203" s="166"/>
      <c r="BO203" s="166"/>
      <c r="BP203" s="166"/>
      <c r="BQ203" s="166"/>
      <c r="BR203" s="166"/>
      <c r="BS203" s="166"/>
      <c r="BT203" s="166"/>
    </row>
    <row r="204" spans="19:72" ht="17.399999999999999" x14ac:dyDescent="0.3">
      <c r="S204" s="167"/>
      <c r="T204" s="167"/>
      <c r="U204" s="167"/>
      <c r="V204" s="167"/>
      <c r="W204" s="167"/>
      <c r="X204" s="166"/>
      <c r="Y204" s="166"/>
      <c r="Z204" s="166"/>
      <c r="AA204" s="166"/>
      <c r="AB204" s="166"/>
      <c r="AC204" s="166">
        <f t="shared" si="26"/>
        <v>29</v>
      </c>
      <c r="AD204" s="166" t="str">
        <f t="shared" si="31"/>
        <v>Forte probabilité d'avoir un niveau de charges de mécanisation élevé</v>
      </c>
      <c r="AE204" s="166"/>
      <c r="AF204" s="166"/>
      <c r="AG204" s="166"/>
      <c r="AH204" s="166"/>
      <c r="AI204" s="166">
        <f t="shared" si="28"/>
        <v>29</v>
      </c>
      <c r="AJ204" s="687"/>
      <c r="AK204" s="166"/>
      <c r="AL204" s="166"/>
      <c r="AM204" s="166"/>
      <c r="AN204" s="166"/>
      <c r="AO204" s="166"/>
      <c r="AP204" s="166"/>
      <c r="AQ204" s="166"/>
      <c r="AR204" s="166"/>
      <c r="AS204" s="166"/>
      <c r="AT204" s="166"/>
      <c r="AU204" s="166"/>
      <c r="AV204" s="166"/>
      <c r="AW204" s="166"/>
      <c r="AX204" s="166"/>
      <c r="AY204" s="166"/>
      <c r="AZ204" s="166"/>
      <c r="BA204" s="166"/>
      <c r="BB204" s="166"/>
      <c r="BC204" s="166"/>
      <c r="BD204" s="166"/>
      <c r="BE204" s="166"/>
      <c r="BF204" s="166"/>
      <c r="BG204" s="166"/>
      <c r="BH204" s="166"/>
      <c r="BI204" s="166"/>
      <c r="BJ204" s="166"/>
      <c r="BK204" s="166"/>
      <c r="BL204" s="166"/>
      <c r="BM204" s="166"/>
      <c r="BN204" s="166"/>
      <c r="BO204" s="166"/>
      <c r="BP204" s="166"/>
      <c r="BQ204" s="166"/>
      <c r="BR204" s="166"/>
      <c r="BS204" s="166"/>
      <c r="BT204" s="166"/>
    </row>
    <row r="205" spans="19:72" ht="17.399999999999999" x14ac:dyDescent="0.3">
      <c r="S205" s="167"/>
      <c r="T205" s="167"/>
      <c r="U205" s="167"/>
      <c r="V205" s="167"/>
      <c r="W205" s="167"/>
      <c r="X205" s="166"/>
      <c r="Y205" s="166"/>
      <c r="Z205" s="166"/>
      <c r="AA205" s="166"/>
      <c r="AB205" s="166"/>
      <c r="AC205" s="166">
        <f t="shared" si="26"/>
        <v>30</v>
      </c>
      <c r="AD205" s="166" t="str">
        <f t="shared" si="31"/>
        <v>Forte probabilité d'avoir un niveau de charges de mécanisation élevé</v>
      </c>
      <c r="AE205" s="166"/>
      <c r="AF205" s="166"/>
      <c r="AG205" s="166"/>
      <c r="AH205" s="166"/>
      <c r="AI205" s="166">
        <f t="shared" si="28"/>
        <v>30</v>
      </c>
      <c r="AJ205" s="687"/>
      <c r="AK205" s="166"/>
      <c r="AL205" s="166"/>
      <c r="AM205" s="166"/>
      <c r="AN205" s="166"/>
      <c r="AO205" s="166"/>
      <c r="AP205" s="166"/>
      <c r="AQ205" s="166"/>
      <c r="AR205" s="166"/>
      <c r="AS205" s="166"/>
      <c r="AT205" s="166"/>
      <c r="AU205" s="166"/>
      <c r="AV205" s="166"/>
      <c r="AW205" s="166"/>
      <c r="AX205" s="166"/>
      <c r="AY205" s="166"/>
      <c r="AZ205" s="166"/>
      <c r="BA205" s="166"/>
      <c r="BB205" s="166"/>
      <c r="BC205" s="166"/>
      <c r="BD205" s="166"/>
      <c r="BE205" s="166"/>
      <c r="BF205" s="166"/>
      <c r="BG205" s="166"/>
      <c r="BH205" s="166"/>
      <c r="BI205" s="166"/>
      <c r="BJ205" s="166"/>
      <c r="BK205" s="166"/>
      <c r="BL205" s="166"/>
      <c r="BM205" s="166"/>
      <c r="BN205" s="166"/>
      <c r="BO205" s="166"/>
      <c r="BP205" s="166"/>
      <c r="BQ205" s="166"/>
      <c r="BR205" s="166"/>
      <c r="BS205" s="166"/>
      <c r="BT205" s="166"/>
    </row>
    <row r="206" spans="19:72" ht="17.399999999999999" x14ac:dyDescent="0.3">
      <c r="S206" s="167"/>
      <c r="T206" s="167"/>
      <c r="U206" s="167"/>
      <c r="V206" s="167"/>
      <c r="W206" s="167"/>
      <c r="X206" s="166"/>
      <c r="Y206" s="166"/>
      <c r="Z206" s="166"/>
      <c r="AA206" s="166"/>
      <c r="AB206" s="166"/>
      <c r="AC206" s="166">
        <f t="shared" si="26"/>
        <v>31</v>
      </c>
      <c r="AD206" s="166" t="str">
        <f>AD$147</f>
        <v>Forte probabilité d'avoir un niveau de charges de mécanisation élevé</v>
      </c>
      <c r="AE206" s="166"/>
      <c r="AF206" s="166"/>
      <c r="AG206" s="166"/>
      <c r="AH206" s="166"/>
      <c r="AI206" s="166">
        <f t="shared" si="28"/>
        <v>31</v>
      </c>
      <c r="AJ206" s="687"/>
      <c r="AK206" s="166"/>
      <c r="AL206" s="166"/>
      <c r="AM206" s="166"/>
      <c r="AN206" s="166"/>
      <c r="AO206" s="166"/>
      <c r="AP206" s="166"/>
      <c r="AQ206" s="166"/>
      <c r="AR206" s="166"/>
      <c r="AS206" s="166"/>
      <c r="AT206" s="166"/>
      <c r="AU206" s="166"/>
      <c r="AV206" s="166"/>
      <c r="AW206" s="166"/>
      <c r="AX206" s="166"/>
      <c r="AY206" s="166"/>
      <c r="AZ206" s="166"/>
      <c r="BA206" s="166"/>
      <c r="BB206" s="166"/>
      <c r="BC206" s="166"/>
      <c r="BD206" s="166"/>
      <c r="BE206" s="166"/>
      <c r="BF206" s="166"/>
      <c r="BG206" s="166"/>
      <c r="BH206" s="166"/>
      <c r="BI206" s="166"/>
      <c r="BJ206" s="166"/>
      <c r="BK206" s="166"/>
      <c r="BL206" s="166"/>
      <c r="BM206" s="166"/>
      <c r="BN206" s="166"/>
      <c r="BO206" s="166"/>
      <c r="BP206" s="166"/>
      <c r="BQ206" s="166"/>
      <c r="BR206" s="166"/>
      <c r="BS206" s="166"/>
      <c r="BT206" s="166"/>
    </row>
    <row r="207" spans="19:72" ht="17.399999999999999" x14ac:dyDescent="0.3">
      <c r="S207" s="167"/>
      <c r="T207" s="167"/>
      <c r="U207" s="167"/>
      <c r="V207" s="167"/>
      <c r="W207" s="167"/>
      <c r="X207" s="166"/>
      <c r="Y207" s="166"/>
      <c r="Z207" s="166"/>
      <c r="AA207" s="166"/>
      <c r="AB207" s="166"/>
      <c r="AC207" s="166">
        <f t="shared" si="26"/>
        <v>32</v>
      </c>
      <c r="AD207" s="166" t="str">
        <f>AD$147</f>
        <v>Forte probabilité d'avoir un niveau de charges de mécanisation élevé</v>
      </c>
      <c r="AE207" s="166"/>
      <c r="AF207" s="166"/>
      <c r="AG207" s="166"/>
      <c r="AH207" s="166"/>
      <c r="AI207" s="166">
        <f t="shared" si="28"/>
        <v>32</v>
      </c>
      <c r="AJ207" s="687"/>
      <c r="AK207" s="166"/>
      <c r="AL207" s="166"/>
      <c r="AM207" s="166"/>
      <c r="AN207" s="166"/>
      <c r="AO207" s="166"/>
      <c r="AP207" s="166"/>
      <c r="AQ207" s="166"/>
      <c r="AR207" s="166"/>
      <c r="AS207" s="166"/>
      <c r="AT207" s="166"/>
      <c r="AU207" s="166"/>
      <c r="AV207" s="166"/>
      <c r="AW207" s="166"/>
      <c r="AX207" s="166"/>
      <c r="AY207" s="166"/>
      <c r="AZ207" s="166"/>
      <c r="BA207" s="166"/>
      <c r="BB207" s="166"/>
      <c r="BC207" s="166"/>
      <c r="BD207" s="166"/>
      <c r="BE207" s="166"/>
      <c r="BF207" s="166"/>
      <c r="BG207" s="166"/>
      <c r="BH207" s="166"/>
      <c r="BI207" s="166"/>
      <c r="BJ207" s="166"/>
      <c r="BK207" s="166"/>
      <c r="BL207" s="166"/>
      <c r="BM207" s="166"/>
      <c r="BN207" s="166"/>
      <c r="BO207" s="166"/>
      <c r="BP207" s="166"/>
      <c r="BQ207" s="166"/>
      <c r="BR207" s="166"/>
      <c r="BS207" s="166"/>
      <c r="BT207" s="166"/>
    </row>
    <row r="208" spans="19:72" ht="17.399999999999999" x14ac:dyDescent="0.3">
      <c r="S208" s="167"/>
      <c r="T208" s="167"/>
      <c r="U208" s="167"/>
      <c r="V208" s="167"/>
      <c r="W208" s="167"/>
      <c r="X208" s="166"/>
      <c r="Y208" s="166"/>
      <c r="Z208" s="166"/>
      <c r="AA208" s="166"/>
      <c r="AB208" s="166"/>
      <c r="AC208" s="166">
        <f t="shared" si="26"/>
        <v>33</v>
      </c>
      <c r="AD208" s="166" t="str">
        <f>AD$147</f>
        <v>Forte probabilité d'avoir un niveau de charges de mécanisation élevé</v>
      </c>
      <c r="AE208" s="166"/>
      <c r="AF208" s="166"/>
      <c r="AG208" s="166"/>
      <c r="AH208" s="166"/>
      <c r="AI208" s="166">
        <f t="shared" si="28"/>
        <v>33</v>
      </c>
      <c r="AJ208" s="687"/>
      <c r="AK208" s="166"/>
      <c r="AL208" s="166"/>
      <c r="AM208" s="166"/>
      <c r="AN208" s="166"/>
      <c r="AO208" s="166"/>
      <c r="AP208" s="166"/>
      <c r="AQ208" s="166"/>
      <c r="AR208" s="166"/>
      <c r="AS208" s="166"/>
      <c r="AT208" s="166"/>
      <c r="AU208" s="166"/>
      <c r="AV208" s="166"/>
      <c r="AW208" s="166"/>
      <c r="AX208" s="166"/>
      <c r="AY208" s="166"/>
      <c r="AZ208" s="166"/>
      <c r="BA208" s="166"/>
      <c r="BB208" s="166"/>
      <c r="BC208" s="166"/>
      <c r="BD208" s="166"/>
      <c r="BE208" s="166"/>
      <c r="BF208" s="166"/>
      <c r="BG208" s="166"/>
      <c r="BH208" s="166"/>
      <c r="BI208" s="166"/>
      <c r="BJ208" s="166"/>
      <c r="BK208" s="166"/>
      <c r="BL208" s="166"/>
      <c r="BM208" s="166"/>
      <c r="BN208" s="166"/>
      <c r="BO208" s="166"/>
      <c r="BP208" s="166"/>
      <c r="BQ208" s="166"/>
      <c r="BR208" s="166"/>
      <c r="BS208" s="166"/>
      <c r="BT208" s="166"/>
    </row>
    <row r="209" spans="19:72" ht="17.399999999999999" x14ac:dyDescent="0.3">
      <c r="S209" s="167"/>
      <c r="T209" s="167"/>
      <c r="U209" s="167"/>
      <c r="V209" s="167"/>
      <c r="W209" s="167"/>
      <c r="X209" s="166"/>
      <c r="Y209" s="166"/>
      <c r="Z209" s="166"/>
      <c r="AA209" s="166"/>
      <c r="AB209" s="166"/>
      <c r="AC209" s="166">
        <f t="shared" si="26"/>
        <v>34</v>
      </c>
      <c r="AD209" s="166" t="str">
        <f t="shared" ref="AD209:AD223" si="32">AD$147</f>
        <v>Forte probabilité d'avoir un niveau de charges de mécanisation élevé</v>
      </c>
      <c r="AE209" s="166"/>
      <c r="AF209" s="166"/>
      <c r="AG209" s="166"/>
      <c r="AH209" s="166"/>
      <c r="AI209" s="166">
        <f t="shared" si="28"/>
        <v>34</v>
      </c>
      <c r="AJ209" s="687"/>
      <c r="AK209" s="166"/>
      <c r="AL209" s="166"/>
      <c r="AM209" s="166"/>
      <c r="AN209" s="166"/>
      <c r="AO209" s="166"/>
      <c r="AP209" s="166"/>
      <c r="AQ209" s="166"/>
      <c r="AR209" s="166"/>
      <c r="AS209" s="166"/>
      <c r="AT209" s="166"/>
      <c r="AU209" s="166"/>
      <c r="AV209" s="166"/>
      <c r="AW209" s="166"/>
      <c r="AX209" s="166"/>
      <c r="AY209" s="166"/>
      <c r="AZ209" s="166"/>
      <c r="BA209" s="166"/>
      <c r="BB209" s="166"/>
      <c r="BC209" s="166"/>
      <c r="BD209" s="166"/>
      <c r="BE209" s="166"/>
      <c r="BF209" s="166"/>
      <c r="BG209" s="166"/>
      <c r="BH209" s="166"/>
      <c r="BI209" s="166"/>
      <c r="BJ209" s="166"/>
      <c r="BK209" s="166"/>
      <c r="BL209" s="166"/>
      <c r="BM209" s="166"/>
      <c r="BN209" s="166"/>
      <c r="BO209" s="166"/>
      <c r="BP209" s="166"/>
      <c r="BQ209" s="166"/>
      <c r="BR209" s="166"/>
      <c r="BS209" s="166"/>
      <c r="BT209" s="166"/>
    </row>
    <row r="210" spans="19:72" ht="17.399999999999999" x14ac:dyDescent="0.3">
      <c r="S210" s="167"/>
      <c r="T210" s="167"/>
      <c r="U210" s="167"/>
      <c r="V210" s="167"/>
      <c r="W210" s="167"/>
      <c r="X210" s="166"/>
      <c r="Y210" s="166"/>
      <c r="Z210" s="166"/>
      <c r="AA210" s="166"/>
      <c r="AB210" s="166"/>
      <c r="AC210" s="166">
        <f t="shared" si="26"/>
        <v>35</v>
      </c>
      <c r="AD210" s="166" t="str">
        <f t="shared" si="32"/>
        <v>Forte probabilité d'avoir un niveau de charges de mécanisation élevé</v>
      </c>
      <c r="AE210" s="166"/>
      <c r="AF210" s="166"/>
      <c r="AG210" s="166"/>
      <c r="AH210" s="166"/>
      <c r="AI210" s="166">
        <f t="shared" si="28"/>
        <v>35</v>
      </c>
      <c r="AJ210" s="687"/>
      <c r="AK210" s="166"/>
      <c r="AL210" s="166"/>
      <c r="AM210" s="166"/>
      <c r="AN210" s="166"/>
      <c r="AO210" s="166"/>
      <c r="AP210" s="166"/>
      <c r="AQ210" s="166"/>
      <c r="AR210" s="166"/>
      <c r="AS210" s="166"/>
      <c r="AT210" s="166"/>
      <c r="AU210" s="166"/>
      <c r="AV210" s="166"/>
      <c r="AW210" s="166"/>
      <c r="AX210" s="166"/>
      <c r="AY210" s="166"/>
      <c r="AZ210" s="166"/>
      <c r="BA210" s="166"/>
      <c r="BB210" s="166"/>
      <c r="BC210" s="166"/>
      <c r="BD210" s="166"/>
      <c r="BE210" s="166"/>
      <c r="BF210" s="166"/>
      <c r="BG210" s="166"/>
      <c r="BH210" s="166"/>
      <c r="BI210" s="166"/>
      <c r="BJ210" s="166"/>
      <c r="BK210" s="166"/>
      <c r="BL210" s="166"/>
      <c r="BM210" s="166"/>
      <c r="BN210" s="166"/>
      <c r="BO210" s="166"/>
      <c r="BP210" s="166"/>
      <c r="BQ210" s="166"/>
      <c r="BR210" s="166"/>
      <c r="BS210" s="166"/>
      <c r="BT210" s="166"/>
    </row>
    <row r="211" spans="19:72" ht="17.399999999999999" x14ac:dyDescent="0.3">
      <c r="S211" s="167"/>
      <c r="T211" s="167"/>
      <c r="U211" s="167"/>
      <c r="V211" s="167"/>
      <c r="W211" s="167"/>
      <c r="X211" s="166"/>
      <c r="Y211" s="166"/>
      <c r="Z211" s="166"/>
      <c r="AA211" s="166"/>
      <c r="AB211" s="166"/>
      <c r="AC211" s="166">
        <f t="shared" si="26"/>
        <v>36</v>
      </c>
      <c r="AD211" s="166" t="str">
        <f t="shared" si="32"/>
        <v>Forte probabilité d'avoir un niveau de charges de mécanisation élevé</v>
      </c>
      <c r="AE211" s="166"/>
      <c r="AF211" s="166"/>
      <c r="AG211" s="166"/>
      <c r="AH211" s="166"/>
      <c r="AI211" s="166">
        <f t="shared" si="28"/>
        <v>36</v>
      </c>
      <c r="AJ211" s="687"/>
      <c r="AK211" s="166"/>
      <c r="AL211" s="166"/>
      <c r="AM211" s="166"/>
      <c r="AN211" s="166"/>
      <c r="AO211" s="166"/>
      <c r="AP211" s="166"/>
      <c r="AQ211" s="166"/>
      <c r="AR211" s="166"/>
      <c r="AS211" s="166"/>
      <c r="AT211" s="166"/>
      <c r="AU211" s="166"/>
      <c r="AV211" s="166"/>
      <c r="AW211" s="166"/>
      <c r="AX211" s="166"/>
      <c r="AY211" s="166"/>
      <c r="AZ211" s="166"/>
      <c r="BA211" s="166"/>
      <c r="BB211" s="166"/>
      <c r="BC211" s="166"/>
      <c r="BD211" s="166"/>
      <c r="BE211" s="166"/>
      <c r="BF211" s="166"/>
      <c r="BG211" s="166"/>
      <c r="BH211" s="166"/>
      <c r="BI211" s="166"/>
      <c r="BJ211" s="166"/>
      <c r="BK211" s="166"/>
      <c r="BL211" s="166"/>
      <c r="BM211" s="166"/>
      <c r="BN211" s="166"/>
      <c r="BO211" s="166"/>
      <c r="BP211" s="166"/>
      <c r="BQ211" s="166"/>
      <c r="BR211" s="166"/>
      <c r="BS211" s="166"/>
      <c r="BT211" s="166"/>
    </row>
    <row r="212" spans="19:72" ht="17.399999999999999" x14ac:dyDescent="0.3">
      <c r="S212" s="167"/>
      <c r="T212" s="167"/>
      <c r="U212" s="167"/>
      <c r="V212" s="167"/>
      <c r="W212" s="167"/>
      <c r="X212" s="166"/>
      <c r="Y212" s="166"/>
      <c r="Z212" s="166"/>
      <c r="AA212" s="166"/>
      <c r="AB212" s="166"/>
      <c r="AC212" s="166">
        <f t="shared" si="26"/>
        <v>37</v>
      </c>
      <c r="AD212" s="166" t="str">
        <f t="shared" si="32"/>
        <v>Forte probabilité d'avoir un niveau de charges de mécanisation élevé</v>
      </c>
      <c r="AE212" s="166"/>
      <c r="AF212" s="166"/>
      <c r="AG212" s="166"/>
      <c r="AH212" s="166"/>
      <c r="AI212" s="166">
        <f t="shared" si="28"/>
        <v>37</v>
      </c>
      <c r="AJ212" s="687"/>
      <c r="AK212" s="166"/>
      <c r="AL212" s="166"/>
      <c r="AM212" s="166"/>
      <c r="AN212" s="166"/>
      <c r="AO212" s="166"/>
      <c r="AP212" s="166"/>
      <c r="AQ212" s="166"/>
      <c r="AR212" s="166"/>
      <c r="AS212" s="166"/>
      <c r="AT212" s="166"/>
      <c r="AU212" s="166"/>
      <c r="AV212" s="166"/>
      <c r="AW212" s="166"/>
      <c r="AX212" s="166"/>
      <c r="AY212" s="166"/>
      <c r="AZ212" s="166"/>
      <c r="BA212" s="166"/>
      <c r="BB212" s="166"/>
      <c r="BC212" s="166"/>
      <c r="BD212" s="166"/>
      <c r="BE212" s="166"/>
      <c r="BF212" s="166"/>
      <c r="BG212" s="166"/>
      <c r="BH212" s="166"/>
      <c r="BI212" s="166"/>
      <c r="BJ212" s="166"/>
      <c r="BK212" s="166"/>
      <c r="BL212" s="166"/>
      <c r="BM212" s="166"/>
      <c r="BN212" s="166"/>
      <c r="BO212" s="166"/>
      <c r="BP212" s="166"/>
      <c r="BQ212" s="166"/>
      <c r="BR212" s="166"/>
      <c r="BS212" s="166"/>
      <c r="BT212" s="166"/>
    </row>
    <row r="213" spans="19:72" ht="17.399999999999999" x14ac:dyDescent="0.3">
      <c r="S213" s="167"/>
      <c r="T213" s="167"/>
      <c r="U213" s="167"/>
      <c r="V213" s="167"/>
      <c r="W213" s="167"/>
      <c r="X213" s="166"/>
      <c r="Y213" s="166"/>
      <c r="Z213" s="166"/>
      <c r="AA213" s="166"/>
      <c r="AB213" s="166"/>
      <c r="AC213" s="166">
        <f t="shared" si="26"/>
        <v>38</v>
      </c>
      <c r="AD213" s="166" t="str">
        <f t="shared" si="32"/>
        <v>Forte probabilité d'avoir un niveau de charges de mécanisation élevé</v>
      </c>
      <c r="AE213" s="166"/>
      <c r="AF213" s="166"/>
      <c r="AG213" s="166"/>
      <c r="AH213" s="166"/>
      <c r="AI213" s="166">
        <f t="shared" si="28"/>
        <v>38</v>
      </c>
      <c r="AJ213" s="687"/>
      <c r="AK213" s="166"/>
      <c r="AL213" s="166"/>
      <c r="AM213" s="166"/>
      <c r="AN213" s="166"/>
      <c r="AO213" s="166"/>
      <c r="AP213" s="166"/>
      <c r="AQ213" s="166"/>
      <c r="AR213" s="166"/>
      <c r="AS213" s="166"/>
      <c r="AT213" s="166"/>
      <c r="AU213" s="166"/>
      <c r="AV213" s="166"/>
      <c r="AW213" s="166"/>
      <c r="AX213" s="166"/>
      <c r="AY213" s="166"/>
      <c r="AZ213" s="166"/>
      <c r="BA213" s="166"/>
      <c r="BB213" s="166"/>
      <c r="BC213" s="166"/>
      <c r="BD213" s="166"/>
      <c r="BE213" s="166"/>
      <c r="BF213" s="166"/>
      <c r="BG213" s="166"/>
      <c r="BH213" s="166"/>
      <c r="BI213" s="166"/>
      <c r="BJ213" s="166"/>
      <c r="BK213" s="166"/>
      <c r="BL213" s="166"/>
      <c r="BM213" s="166"/>
      <c r="BN213" s="166"/>
      <c r="BO213" s="166"/>
      <c r="BP213" s="166"/>
      <c r="BQ213" s="166"/>
      <c r="BR213" s="166"/>
      <c r="BS213" s="166"/>
      <c r="BT213" s="166"/>
    </row>
    <row r="214" spans="19:72" ht="17.399999999999999" x14ac:dyDescent="0.3">
      <c r="S214" s="167"/>
      <c r="T214" s="167"/>
      <c r="U214" s="167"/>
      <c r="V214" s="167"/>
      <c r="W214" s="167"/>
      <c r="X214" s="166"/>
      <c r="Y214" s="166"/>
      <c r="Z214" s="166"/>
      <c r="AA214" s="166"/>
      <c r="AB214" s="166"/>
      <c r="AC214" s="166">
        <f t="shared" si="26"/>
        <v>39</v>
      </c>
      <c r="AD214" s="166" t="str">
        <f t="shared" si="32"/>
        <v>Forte probabilité d'avoir un niveau de charges de mécanisation élevé</v>
      </c>
      <c r="AE214" s="166"/>
      <c r="AF214" s="166"/>
      <c r="AG214" s="166"/>
      <c r="AH214" s="166"/>
      <c r="AI214" s="166">
        <f t="shared" si="28"/>
        <v>39</v>
      </c>
      <c r="AJ214" s="687"/>
      <c r="AK214" s="166"/>
      <c r="AL214" s="166"/>
      <c r="AM214" s="166"/>
      <c r="AN214" s="166"/>
      <c r="AO214" s="166"/>
      <c r="AP214" s="166"/>
      <c r="AQ214" s="166"/>
      <c r="AR214" s="166"/>
      <c r="AS214" s="166"/>
      <c r="AT214" s="166"/>
      <c r="AU214" s="166"/>
      <c r="AV214" s="166"/>
      <c r="AW214" s="166"/>
      <c r="AX214" s="166"/>
      <c r="AY214" s="166"/>
      <c r="AZ214" s="166"/>
      <c r="BA214" s="166"/>
      <c r="BB214" s="166"/>
      <c r="BC214" s="166"/>
      <c r="BD214" s="166"/>
      <c r="BE214" s="166"/>
      <c r="BF214" s="166"/>
      <c r="BG214" s="166"/>
      <c r="BH214" s="166"/>
      <c r="BI214" s="166"/>
      <c r="BJ214" s="166"/>
      <c r="BK214" s="166"/>
      <c r="BL214" s="166"/>
      <c r="BM214" s="166"/>
      <c r="BN214" s="166"/>
      <c r="BO214" s="166"/>
      <c r="BP214" s="166"/>
      <c r="BQ214" s="166"/>
      <c r="BR214" s="166"/>
      <c r="BS214" s="166"/>
      <c r="BT214" s="166"/>
    </row>
    <row r="215" spans="19:72" ht="17.399999999999999" x14ac:dyDescent="0.3">
      <c r="S215" s="167"/>
      <c r="T215" s="167"/>
      <c r="U215" s="167"/>
      <c r="V215" s="167"/>
      <c r="W215" s="167"/>
      <c r="X215" s="166"/>
      <c r="Y215" s="166"/>
      <c r="Z215" s="166"/>
      <c r="AA215" s="166"/>
      <c r="AB215" s="166"/>
      <c r="AC215" s="166">
        <f t="shared" si="26"/>
        <v>40</v>
      </c>
      <c r="AD215" s="166" t="str">
        <f t="shared" si="32"/>
        <v>Forte probabilité d'avoir un niveau de charges de mécanisation élevé</v>
      </c>
      <c r="AE215" s="166"/>
      <c r="AF215" s="166"/>
      <c r="AG215" s="166"/>
      <c r="AH215" s="166"/>
      <c r="AI215" s="166">
        <f t="shared" si="28"/>
        <v>40</v>
      </c>
      <c r="AJ215" s="687"/>
      <c r="AK215" s="166"/>
      <c r="AL215" s="166"/>
      <c r="AM215" s="166"/>
      <c r="AN215" s="166"/>
      <c r="AO215" s="166"/>
      <c r="AP215" s="166"/>
      <c r="AQ215" s="166"/>
      <c r="AR215" s="166"/>
      <c r="AS215" s="166"/>
      <c r="AT215" s="166"/>
      <c r="AU215" s="166"/>
      <c r="AV215" s="166"/>
      <c r="AW215" s="166"/>
      <c r="AX215" s="166"/>
      <c r="AY215" s="166"/>
      <c r="AZ215" s="166"/>
      <c r="BA215" s="166"/>
      <c r="BB215" s="166"/>
      <c r="BC215" s="166"/>
      <c r="BD215" s="166"/>
      <c r="BE215" s="166"/>
      <c r="BF215" s="166"/>
      <c r="BG215" s="166"/>
      <c r="BH215" s="166"/>
      <c r="BI215" s="166"/>
      <c r="BJ215" s="166"/>
      <c r="BK215" s="166"/>
      <c r="BL215" s="166"/>
      <c r="BM215" s="166"/>
      <c r="BN215" s="166"/>
      <c r="BO215" s="166"/>
      <c r="BP215" s="166"/>
      <c r="BQ215" s="166"/>
      <c r="BR215" s="166"/>
      <c r="BS215" s="166"/>
      <c r="BT215" s="166"/>
    </row>
    <row r="216" spans="19:72" ht="17.399999999999999" x14ac:dyDescent="0.3">
      <c r="S216" s="167"/>
      <c r="T216" s="167"/>
      <c r="U216" s="167"/>
      <c r="V216" s="167"/>
      <c r="W216" s="167"/>
      <c r="X216" s="166"/>
      <c r="Y216" s="166"/>
      <c r="Z216" s="166"/>
      <c r="AA216" s="166"/>
      <c r="AB216" s="166"/>
      <c r="AC216" s="166">
        <f t="shared" si="26"/>
        <v>41</v>
      </c>
      <c r="AD216" s="166" t="str">
        <f t="shared" si="32"/>
        <v>Forte probabilité d'avoir un niveau de charges de mécanisation élevé</v>
      </c>
      <c r="AE216" s="166"/>
      <c r="AF216" s="166"/>
      <c r="AG216" s="166"/>
      <c r="AH216" s="166"/>
      <c r="AI216" s="166">
        <f t="shared" si="28"/>
        <v>41</v>
      </c>
      <c r="AJ216" s="687"/>
      <c r="AK216" s="166"/>
      <c r="AL216" s="166"/>
      <c r="AM216" s="166"/>
      <c r="AN216" s="166"/>
      <c r="AO216" s="166"/>
      <c r="AP216" s="166"/>
      <c r="AQ216" s="166"/>
      <c r="AR216" s="166"/>
      <c r="AS216" s="166"/>
      <c r="AT216" s="166"/>
      <c r="AU216" s="166"/>
      <c r="AV216" s="166"/>
      <c r="AW216" s="166"/>
      <c r="AX216" s="166"/>
      <c r="AY216" s="166"/>
      <c r="AZ216" s="166"/>
      <c r="BA216" s="166"/>
      <c r="BB216" s="166"/>
      <c r="BC216" s="166"/>
      <c r="BD216" s="166"/>
      <c r="BE216" s="166"/>
      <c r="BF216" s="166"/>
      <c r="BG216" s="166"/>
      <c r="BH216" s="166"/>
      <c r="BI216" s="166"/>
      <c r="BJ216" s="166"/>
      <c r="BK216" s="166"/>
      <c r="BL216" s="166"/>
      <c r="BM216" s="166"/>
      <c r="BN216" s="166"/>
      <c r="BO216" s="166"/>
      <c r="BP216" s="166"/>
      <c r="BQ216" s="166"/>
      <c r="BR216" s="166"/>
      <c r="BS216" s="166"/>
      <c r="BT216" s="166"/>
    </row>
    <row r="217" spans="19:72" ht="17.399999999999999" x14ac:dyDescent="0.3">
      <c r="S217" s="167"/>
      <c r="T217" s="167"/>
      <c r="U217" s="167"/>
      <c r="V217" s="167"/>
      <c r="W217" s="167"/>
      <c r="X217" s="166"/>
      <c r="Y217" s="166"/>
      <c r="Z217" s="166"/>
      <c r="AA217" s="166"/>
      <c r="AB217" s="166"/>
      <c r="AC217" s="166">
        <f t="shared" si="26"/>
        <v>42</v>
      </c>
      <c r="AD217" s="166" t="str">
        <f t="shared" si="32"/>
        <v>Forte probabilité d'avoir un niveau de charges de mécanisation élevé</v>
      </c>
      <c r="AE217" s="166"/>
      <c r="AF217" s="166"/>
      <c r="AG217" s="166"/>
      <c r="AH217" s="166"/>
      <c r="AI217" s="166">
        <f t="shared" si="28"/>
        <v>42</v>
      </c>
      <c r="AJ217" s="687"/>
      <c r="AK217" s="166"/>
      <c r="AL217" s="166"/>
      <c r="AM217" s="166"/>
      <c r="AN217" s="166"/>
      <c r="AO217" s="166"/>
      <c r="AP217" s="166"/>
      <c r="AQ217" s="166"/>
      <c r="AR217" s="166"/>
      <c r="AS217" s="166"/>
      <c r="AT217" s="166"/>
      <c r="AU217" s="166"/>
      <c r="AV217" s="166"/>
      <c r="AW217" s="166"/>
      <c r="AX217" s="166"/>
      <c r="AY217" s="166"/>
      <c r="AZ217" s="166"/>
      <c r="BA217" s="166"/>
      <c r="BB217" s="166"/>
      <c r="BC217" s="166"/>
      <c r="BD217" s="166"/>
      <c r="BE217" s="166"/>
      <c r="BF217" s="166"/>
      <c r="BG217" s="166"/>
      <c r="BH217" s="166"/>
      <c r="BI217" s="166"/>
      <c r="BJ217" s="166"/>
      <c r="BK217" s="166"/>
      <c r="BL217" s="166"/>
      <c r="BM217" s="166"/>
      <c r="BN217" s="166"/>
      <c r="BO217" s="166"/>
      <c r="BP217" s="166"/>
      <c r="BQ217" s="166"/>
      <c r="BR217" s="166"/>
      <c r="BS217" s="166"/>
      <c r="BT217" s="166"/>
    </row>
    <row r="218" spans="19:72" ht="17.399999999999999" x14ac:dyDescent="0.3">
      <c r="S218" s="167"/>
      <c r="T218" s="167"/>
      <c r="U218" s="167"/>
      <c r="V218" s="167"/>
      <c r="W218" s="167"/>
      <c r="X218" s="166"/>
      <c r="Y218" s="166"/>
      <c r="Z218" s="166"/>
      <c r="AA218" s="166"/>
      <c r="AB218" s="166"/>
      <c r="AC218" s="166">
        <f t="shared" si="26"/>
        <v>43</v>
      </c>
      <c r="AD218" s="166" t="str">
        <f t="shared" si="32"/>
        <v>Forte probabilité d'avoir un niveau de charges de mécanisation élevé</v>
      </c>
      <c r="AE218" s="166"/>
      <c r="AF218" s="166"/>
      <c r="AG218" s="166"/>
      <c r="AH218" s="166"/>
      <c r="AI218" s="166">
        <f t="shared" si="28"/>
        <v>43</v>
      </c>
      <c r="AJ218" s="687"/>
      <c r="AK218" s="166"/>
      <c r="AL218" s="166"/>
      <c r="AM218" s="166"/>
      <c r="AN218" s="166"/>
      <c r="AO218" s="166"/>
      <c r="AP218" s="166"/>
      <c r="AQ218" s="166"/>
      <c r="AR218" s="166"/>
      <c r="AS218" s="166"/>
      <c r="AT218" s="166"/>
      <c r="AU218" s="166"/>
      <c r="AV218" s="166"/>
      <c r="AW218" s="166"/>
      <c r="AX218" s="166"/>
      <c r="AY218" s="166"/>
      <c r="AZ218" s="166"/>
      <c r="BA218" s="166"/>
      <c r="BB218" s="166"/>
      <c r="BC218" s="166"/>
      <c r="BD218" s="166"/>
      <c r="BE218" s="166"/>
      <c r="BF218" s="166"/>
      <c r="BG218" s="166"/>
      <c r="BH218" s="166"/>
      <c r="BI218" s="166"/>
      <c r="BJ218" s="166"/>
      <c r="BK218" s="166"/>
      <c r="BL218" s="166"/>
      <c r="BM218" s="166"/>
      <c r="BN218" s="166"/>
      <c r="BO218" s="166"/>
      <c r="BP218" s="166"/>
      <c r="BQ218" s="166"/>
      <c r="BR218" s="166"/>
      <c r="BS218" s="166"/>
      <c r="BT218" s="166"/>
    </row>
    <row r="219" spans="19:72" ht="17.399999999999999" x14ac:dyDescent="0.3">
      <c r="S219" s="167"/>
      <c r="T219" s="167"/>
      <c r="U219" s="167"/>
      <c r="V219" s="167"/>
      <c r="W219" s="167"/>
      <c r="X219" s="166"/>
      <c r="Y219" s="166"/>
      <c r="Z219" s="166"/>
      <c r="AA219" s="166"/>
      <c r="AB219" s="166"/>
      <c r="AC219" s="166">
        <f t="shared" si="26"/>
        <v>44</v>
      </c>
      <c r="AD219" s="166" t="str">
        <f t="shared" si="32"/>
        <v>Forte probabilité d'avoir un niveau de charges de mécanisation élevé</v>
      </c>
      <c r="AE219" s="166"/>
      <c r="AF219" s="166"/>
      <c r="AG219" s="166"/>
      <c r="AH219" s="166"/>
      <c r="AI219" s="166">
        <f t="shared" si="28"/>
        <v>44</v>
      </c>
      <c r="AJ219" s="687"/>
      <c r="AK219" s="166"/>
      <c r="AL219" s="166"/>
      <c r="AM219" s="166"/>
      <c r="AN219" s="166"/>
      <c r="AO219" s="166"/>
      <c r="AP219" s="166"/>
      <c r="AQ219" s="166"/>
      <c r="AR219" s="166"/>
      <c r="AS219" s="166"/>
      <c r="AT219" s="166"/>
      <c r="AU219" s="166"/>
      <c r="AV219" s="166"/>
      <c r="AW219" s="166"/>
      <c r="AX219" s="166"/>
      <c r="AY219" s="166"/>
      <c r="AZ219" s="166"/>
      <c r="BA219" s="166"/>
      <c r="BB219" s="166"/>
      <c r="BC219" s="166"/>
      <c r="BD219" s="166"/>
      <c r="BE219" s="166"/>
      <c r="BF219" s="166"/>
      <c r="BG219" s="166"/>
      <c r="BH219" s="166"/>
      <c r="BI219" s="166"/>
      <c r="BJ219" s="166"/>
      <c r="BK219" s="166"/>
      <c r="BL219" s="166"/>
      <c r="BM219" s="166"/>
      <c r="BN219" s="166"/>
      <c r="BO219" s="166"/>
      <c r="BP219" s="166"/>
      <c r="BQ219" s="166"/>
      <c r="BR219" s="166"/>
      <c r="BS219" s="166"/>
      <c r="BT219" s="166"/>
    </row>
    <row r="220" spans="19:72" ht="17.399999999999999" x14ac:dyDescent="0.3">
      <c r="S220" s="167"/>
      <c r="T220" s="167"/>
      <c r="U220" s="167"/>
      <c r="V220" s="167"/>
      <c r="W220" s="167"/>
      <c r="X220" s="166"/>
      <c r="Y220" s="166"/>
      <c r="Z220" s="166"/>
      <c r="AA220" s="166"/>
      <c r="AB220" s="166"/>
      <c r="AC220" s="166">
        <f t="shared" si="26"/>
        <v>45</v>
      </c>
      <c r="AD220" s="166" t="str">
        <f t="shared" si="32"/>
        <v>Forte probabilité d'avoir un niveau de charges de mécanisation élevé</v>
      </c>
      <c r="AE220" s="166"/>
      <c r="AF220" s="166"/>
      <c r="AG220" s="166"/>
      <c r="AH220" s="166"/>
      <c r="AI220" s="166">
        <f t="shared" si="28"/>
        <v>45</v>
      </c>
      <c r="AJ220" s="687"/>
      <c r="AK220" s="166"/>
      <c r="AL220" s="166"/>
      <c r="AM220" s="166"/>
      <c r="AN220" s="166"/>
      <c r="AO220" s="166"/>
      <c r="AP220" s="166"/>
      <c r="AQ220" s="166"/>
      <c r="AR220" s="166"/>
      <c r="AS220" s="166"/>
      <c r="AT220" s="166"/>
      <c r="AU220" s="166"/>
      <c r="AV220" s="166"/>
      <c r="AW220" s="166"/>
      <c r="AX220" s="166"/>
      <c r="AY220" s="166"/>
      <c r="AZ220" s="166"/>
      <c r="BA220" s="166"/>
      <c r="BB220" s="166"/>
      <c r="BC220" s="166"/>
      <c r="BD220" s="166"/>
      <c r="BE220" s="166"/>
      <c r="BF220" s="166"/>
      <c r="BG220" s="166"/>
      <c r="BH220" s="166"/>
      <c r="BI220" s="166"/>
      <c r="BJ220" s="166"/>
      <c r="BK220" s="166"/>
      <c r="BL220" s="166"/>
      <c r="BM220" s="166"/>
      <c r="BN220" s="166"/>
      <c r="BO220" s="166"/>
      <c r="BP220" s="166"/>
      <c r="BQ220" s="166"/>
      <c r="BR220" s="166"/>
      <c r="BS220" s="166"/>
      <c r="BT220" s="166"/>
    </row>
    <row r="221" spans="19:72" ht="17.399999999999999" x14ac:dyDescent="0.3">
      <c r="S221" s="167"/>
      <c r="T221" s="167"/>
      <c r="U221" s="167"/>
      <c r="V221" s="167"/>
      <c r="W221" s="167"/>
      <c r="X221" s="166"/>
      <c r="Y221" s="166"/>
      <c r="Z221" s="166"/>
      <c r="AA221" s="166"/>
      <c r="AB221" s="166"/>
      <c r="AC221" s="166">
        <f t="shared" si="26"/>
        <v>46</v>
      </c>
      <c r="AD221" s="166" t="str">
        <f t="shared" si="32"/>
        <v>Forte probabilité d'avoir un niveau de charges de mécanisation élevé</v>
      </c>
      <c r="AE221" s="166"/>
      <c r="AF221" s="166"/>
      <c r="AG221" s="166"/>
      <c r="AH221" s="166"/>
      <c r="AI221" s="166">
        <f t="shared" si="28"/>
        <v>46</v>
      </c>
      <c r="AJ221" s="687"/>
      <c r="AK221" s="166"/>
      <c r="AL221" s="166"/>
      <c r="AM221" s="166"/>
      <c r="AN221" s="166"/>
      <c r="AO221" s="166"/>
      <c r="AP221" s="166"/>
      <c r="AQ221" s="166"/>
      <c r="AR221" s="166"/>
      <c r="AS221" s="166"/>
      <c r="AT221" s="166"/>
      <c r="AU221" s="166"/>
      <c r="AV221" s="166"/>
      <c r="AW221" s="166"/>
      <c r="AX221" s="166"/>
      <c r="AY221" s="166"/>
      <c r="AZ221" s="166"/>
      <c r="BA221" s="166"/>
      <c r="BB221" s="166"/>
      <c r="BC221" s="166"/>
      <c r="BD221" s="166"/>
      <c r="BE221" s="166"/>
      <c r="BF221" s="166"/>
      <c r="BG221" s="166"/>
      <c r="BH221" s="166"/>
      <c r="BI221" s="166"/>
      <c r="BJ221" s="166"/>
      <c r="BK221" s="166"/>
      <c r="BL221" s="166"/>
      <c r="BM221" s="166"/>
      <c r="BN221" s="166"/>
      <c r="BO221" s="166"/>
      <c r="BP221" s="166"/>
      <c r="BQ221" s="166"/>
      <c r="BR221" s="166"/>
      <c r="BS221" s="166"/>
      <c r="BT221" s="166"/>
    </row>
    <row r="222" spans="19:72" ht="17.399999999999999" x14ac:dyDescent="0.3">
      <c r="S222" s="167"/>
      <c r="T222" s="167"/>
      <c r="U222" s="167"/>
      <c r="V222" s="167"/>
      <c r="W222" s="167"/>
      <c r="X222" s="166"/>
      <c r="Y222" s="166"/>
      <c r="Z222" s="166"/>
      <c r="AA222" s="166"/>
      <c r="AB222" s="166"/>
      <c r="AC222" s="166">
        <f t="shared" si="26"/>
        <v>47</v>
      </c>
      <c r="AD222" s="166" t="str">
        <f t="shared" si="32"/>
        <v>Forte probabilité d'avoir un niveau de charges de mécanisation élevé</v>
      </c>
      <c r="AE222" s="166"/>
      <c r="AF222" s="166"/>
      <c r="AG222" s="166"/>
      <c r="AH222" s="166"/>
      <c r="AI222" s="166">
        <f t="shared" si="28"/>
        <v>47</v>
      </c>
      <c r="AJ222" s="687"/>
      <c r="AK222" s="166"/>
      <c r="AL222" s="166"/>
      <c r="AM222" s="166"/>
      <c r="AN222" s="166"/>
      <c r="AO222" s="166"/>
      <c r="AP222" s="166"/>
      <c r="AQ222" s="166"/>
      <c r="AR222" s="166"/>
      <c r="AS222" s="166"/>
      <c r="AT222" s="166"/>
      <c r="AU222" s="166"/>
      <c r="AV222" s="166"/>
      <c r="AW222" s="166"/>
      <c r="AX222" s="166"/>
      <c r="AY222" s="166"/>
      <c r="AZ222" s="166"/>
      <c r="BA222" s="166"/>
      <c r="BB222" s="166"/>
      <c r="BC222" s="166"/>
      <c r="BD222" s="166"/>
      <c r="BE222" s="166"/>
      <c r="BF222" s="166"/>
      <c r="BG222" s="166"/>
      <c r="BH222" s="166"/>
      <c r="BI222" s="166"/>
      <c r="BJ222" s="166"/>
      <c r="BK222" s="166"/>
      <c r="BL222" s="166"/>
      <c r="BM222" s="166"/>
      <c r="BN222" s="166"/>
      <c r="BO222" s="166"/>
      <c r="BP222" s="166"/>
      <c r="BQ222" s="166"/>
      <c r="BR222" s="166"/>
      <c r="BS222" s="166"/>
      <c r="BT222" s="166"/>
    </row>
    <row r="223" spans="19:72" ht="17.399999999999999" x14ac:dyDescent="0.3">
      <c r="S223" s="167"/>
      <c r="T223" s="167"/>
      <c r="U223" s="167"/>
      <c r="V223" s="167"/>
      <c r="W223" s="167"/>
      <c r="X223" s="166"/>
      <c r="Y223" s="166"/>
      <c r="Z223" s="166"/>
      <c r="AA223" s="166"/>
      <c r="AB223" s="166"/>
      <c r="AC223" s="166">
        <f t="shared" si="26"/>
        <v>48</v>
      </c>
      <c r="AD223" s="166" t="str">
        <f t="shared" si="32"/>
        <v>Forte probabilité d'avoir un niveau de charges de mécanisation élevé</v>
      </c>
      <c r="AE223" s="166"/>
      <c r="AF223" s="166"/>
      <c r="AG223" s="166"/>
      <c r="AH223" s="166"/>
      <c r="AI223" s="166">
        <f t="shared" si="28"/>
        <v>48</v>
      </c>
      <c r="AJ223" s="687">
        <f t="shared" ref="AJ223" si="33">AI223/48</f>
        <v>1</v>
      </c>
      <c r="AK223" s="166"/>
      <c r="AL223" s="166"/>
      <c r="AM223" s="166"/>
      <c r="AN223" s="166"/>
      <c r="AO223" s="166"/>
      <c r="AP223" s="166"/>
      <c r="AQ223" s="166"/>
      <c r="AR223" s="166"/>
      <c r="AS223" s="166"/>
      <c r="AT223" s="166"/>
      <c r="AU223" s="166"/>
      <c r="AV223" s="166"/>
      <c r="AW223" s="166"/>
      <c r="AX223" s="166"/>
      <c r="AY223" s="166"/>
      <c r="AZ223" s="166"/>
      <c r="BA223" s="166"/>
      <c r="BB223" s="166"/>
      <c r="BC223" s="166"/>
      <c r="BD223" s="166"/>
      <c r="BE223" s="166"/>
      <c r="BF223" s="166"/>
      <c r="BG223" s="166"/>
      <c r="BH223" s="166"/>
      <c r="BI223" s="166"/>
      <c r="BJ223" s="166"/>
      <c r="BK223" s="166"/>
      <c r="BL223" s="166"/>
      <c r="BM223" s="166"/>
      <c r="BN223" s="166"/>
      <c r="BO223" s="166"/>
      <c r="BP223" s="166"/>
      <c r="BQ223" s="166"/>
      <c r="BR223" s="166"/>
      <c r="BS223" s="166"/>
      <c r="BT223" s="166"/>
    </row>
    <row r="224" spans="19:72" x14ac:dyDescent="0.3">
      <c r="S224" s="167"/>
      <c r="T224" s="167"/>
      <c r="U224" s="167"/>
      <c r="V224" s="167"/>
      <c r="W224" s="167"/>
      <c r="X224" s="166"/>
      <c r="Y224" s="166"/>
      <c r="Z224" s="166"/>
      <c r="AA224" s="166"/>
      <c r="AB224" s="166"/>
      <c r="AC224" s="166"/>
      <c r="AD224" s="166"/>
      <c r="AE224" s="166"/>
      <c r="AF224" s="166"/>
      <c r="AG224" s="166"/>
      <c r="AH224" s="166"/>
      <c r="AI224" s="166"/>
      <c r="AJ224" s="166"/>
      <c r="AK224" s="166"/>
      <c r="AL224" s="166"/>
      <c r="AM224" s="166"/>
      <c r="AN224" s="166"/>
      <c r="AO224" s="166"/>
      <c r="AP224" s="166"/>
      <c r="AQ224" s="166"/>
      <c r="AR224" s="166"/>
      <c r="AS224" s="166"/>
      <c r="AT224" s="166"/>
      <c r="AU224" s="166"/>
      <c r="AV224" s="166"/>
      <c r="AW224" s="166"/>
      <c r="AX224" s="166"/>
      <c r="AY224" s="166"/>
      <c r="AZ224" s="166"/>
      <c r="BA224" s="166"/>
      <c r="BB224" s="166"/>
      <c r="BC224" s="166"/>
      <c r="BD224" s="166"/>
      <c r="BE224" s="166"/>
      <c r="BF224" s="166"/>
      <c r="BG224" s="166"/>
      <c r="BH224" s="166"/>
      <c r="BI224" s="166"/>
      <c r="BJ224" s="166"/>
      <c r="BK224" s="166"/>
      <c r="BL224" s="166"/>
      <c r="BM224" s="166"/>
      <c r="BN224" s="166"/>
      <c r="BO224" s="166"/>
      <c r="BP224" s="166"/>
      <c r="BQ224" s="166"/>
      <c r="BR224" s="166"/>
      <c r="BS224" s="166"/>
      <c r="BT224" s="166"/>
    </row>
    <row r="225" spans="19:72" x14ac:dyDescent="0.3">
      <c r="S225" s="167"/>
      <c r="T225" s="167"/>
      <c r="U225" s="167"/>
      <c r="V225" s="167"/>
      <c r="W225" s="167"/>
      <c r="X225" s="166"/>
      <c r="Y225" s="166"/>
      <c r="Z225" s="166"/>
      <c r="AA225" s="166"/>
      <c r="AB225" s="166"/>
      <c r="AC225" s="166"/>
      <c r="AD225" s="166"/>
      <c r="AE225" s="166"/>
      <c r="AF225" s="166"/>
      <c r="AG225" s="166"/>
      <c r="AH225" s="166"/>
      <c r="AI225" s="166"/>
      <c r="AJ225" s="166"/>
      <c r="AK225" s="166"/>
      <c r="AL225" s="166"/>
      <c r="AM225" s="166"/>
      <c r="AN225" s="166"/>
      <c r="AO225" s="166"/>
      <c r="AP225" s="166"/>
      <c r="AQ225" s="166"/>
      <c r="AR225" s="166"/>
      <c r="AS225" s="166"/>
      <c r="AT225" s="166"/>
      <c r="AU225" s="166"/>
      <c r="AV225" s="166"/>
      <c r="AW225" s="166"/>
      <c r="AX225" s="166"/>
      <c r="AY225" s="166"/>
      <c r="AZ225" s="166"/>
      <c r="BA225" s="166"/>
      <c r="BB225" s="166"/>
      <c r="BC225" s="166"/>
      <c r="BD225" s="166"/>
      <c r="BE225" s="166"/>
      <c r="BF225" s="166"/>
      <c r="BG225" s="166"/>
      <c r="BH225" s="166"/>
      <c r="BI225" s="166"/>
      <c r="BJ225" s="166"/>
      <c r="BK225" s="166"/>
      <c r="BL225" s="166"/>
      <c r="BM225" s="166"/>
      <c r="BN225" s="166"/>
      <c r="BO225" s="166"/>
      <c r="BP225" s="166"/>
      <c r="BQ225" s="166"/>
      <c r="BR225" s="166"/>
      <c r="BS225" s="166"/>
      <c r="BT225" s="166"/>
    </row>
    <row r="226" spans="19:72" ht="17.399999999999999" x14ac:dyDescent="0.3">
      <c r="S226" s="167"/>
      <c r="T226" s="167"/>
      <c r="U226" s="167"/>
      <c r="V226" s="167"/>
      <c r="W226" s="167"/>
      <c r="X226" s="166"/>
      <c r="Y226" s="166"/>
      <c r="Z226" s="166"/>
      <c r="AA226" s="166"/>
      <c r="AB226" s="166"/>
      <c r="AC226" s="166"/>
      <c r="AD226" s="166"/>
      <c r="AE226" s="166"/>
      <c r="AF226" s="166"/>
      <c r="AG226" s="166"/>
      <c r="AH226" s="166"/>
      <c r="AI226" s="166"/>
      <c r="AJ226" s="687"/>
      <c r="AK226" s="166"/>
      <c r="AL226" s="166"/>
      <c r="AM226" s="166"/>
      <c r="AN226" s="166"/>
      <c r="AO226" s="166"/>
      <c r="AP226" s="166"/>
      <c r="AQ226" s="166"/>
      <c r="AR226" s="166"/>
      <c r="AS226" s="166"/>
      <c r="AT226" s="166"/>
      <c r="AU226" s="166"/>
      <c r="AV226" s="166"/>
      <c r="AW226" s="166"/>
      <c r="AX226" s="166"/>
      <c r="AY226" s="166"/>
      <c r="AZ226" s="166"/>
      <c r="BA226" s="166"/>
      <c r="BB226" s="166"/>
      <c r="BC226" s="166"/>
      <c r="BD226" s="166"/>
      <c r="BE226" s="166"/>
      <c r="BF226" s="166"/>
      <c r="BG226" s="166"/>
      <c r="BH226" s="166"/>
      <c r="BI226" s="166"/>
      <c r="BJ226" s="166"/>
      <c r="BK226" s="166"/>
      <c r="BL226" s="166"/>
      <c r="BM226" s="166"/>
      <c r="BN226" s="166"/>
      <c r="BO226" s="166"/>
      <c r="BP226" s="166"/>
      <c r="BQ226" s="166"/>
      <c r="BR226" s="166"/>
      <c r="BS226" s="166"/>
      <c r="BT226" s="166"/>
    </row>
    <row r="227" spans="19:72" x14ac:dyDescent="0.3">
      <c r="S227" s="167"/>
      <c r="T227" s="167"/>
      <c r="U227" s="167"/>
      <c r="V227" s="167"/>
      <c r="W227" s="167"/>
      <c r="X227" s="166"/>
      <c r="Y227" s="166"/>
      <c r="Z227" s="166"/>
      <c r="AA227" s="166"/>
      <c r="AB227" s="166"/>
      <c r="AC227" s="166"/>
      <c r="AD227" s="166"/>
      <c r="AE227" s="166"/>
      <c r="AF227" s="166"/>
      <c r="AG227" s="166"/>
      <c r="AH227" s="166"/>
      <c r="AI227" s="166"/>
      <c r="AJ227" s="166"/>
      <c r="AK227" s="166"/>
      <c r="AL227" s="166"/>
      <c r="AM227" s="166"/>
      <c r="AN227" s="166"/>
      <c r="AO227" s="166"/>
      <c r="AP227" s="166"/>
      <c r="AQ227" s="166"/>
      <c r="AR227" s="166"/>
      <c r="AS227" s="166"/>
      <c r="AT227" s="166"/>
      <c r="AU227" s="166"/>
      <c r="AV227" s="166"/>
      <c r="AW227" s="166"/>
      <c r="AX227" s="166"/>
      <c r="AY227" s="166"/>
      <c r="AZ227" s="166"/>
      <c r="BA227" s="166"/>
      <c r="BB227" s="166"/>
      <c r="BC227" s="166"/>
      <c r="BD227" s="166"/>
      <c r="BE227" s="166"/>
      <c r="BF227" s="166"/>
      <c r="BG227" s="166"/>
      <c r="BH227" s="166"/>
      <c r="BI227" s="166"/>
      <c r="BJ227" s="166"/>
      <c r="BK227" s="166"/>
      <c r="BL227" s="166"/>
      <c r="BM227" s="166"/>
      <c r="BN227" s="166"/>
      <c r="BO227" s="166"/>
      <c r="BP227" s="166"/>
      <c r="BQ227" s="166"/>
      <c r="BR227" s="166"/>
      <c r="BS227" s="166"/>
      <c r="BT227" s="166"/>
    </row>
    <row r="228" spans="19:72" x14ac:dyDescent="0.3">
      <c r="S228" s="167"/>
      <c r="T228" s="167"/>
      <c r="U228" s="167"/>
      <c r="V228" s="167"/>
      <c r="W228" s="167"/>
      <c r="X228" s="166"/>
      <c r="Y228" s="166"/>
      <c r="Z228" s="166"/>
      <c r="AA228" s="166"/>
      <c r="AB228" s="166"/>
      <c r="AC228" s="166"/>
      <c r="AD228" s="166"/>
      <c r="AE228" s="166"/>
      <c r="AF228" s="166"/>
      <c r="AG228" s="166"/>
      <c r="AH228" s="166"/>
      <c r="AI228" s="166"/>
      <c r="AJ228" s="166"/>
      <c r="AK228" s="166"/>
      <c r="AL228" s="166"/>
      <c r="AM228" s="166"/>
      <c r="AN228" s="166"/>
      <c r="AO228" s="166"/>
      <c r="AP228" s="166"/>
      <c r="AQ228" s="166"/>
      <c r="AR228" s="166"/>
      <c r="AS228" s="166"/>
      <c r="AT228" s="166"/>
      <c r="AU228" s="166"/>
      <c r="AV228" s="166"/>
      <c r="AW228" s="166"/>
      <c r="AX228" s="166"/>
      <c r="AY228" s="166"/>
      <c r="AZ228" s="166"/>
      <c r="BA228" s="166"/>
      <c r="BB228" s="166"/>
      <c r="BC228" s="166"/>
      <c r="BD228" s="166"/>
      <c r="BE228" s="166"/>
      <c r="BF228" s="166"/>
      <c r="BG228" s="166"/>
      <c r="BH228" s="166"/>
      <c r="BI228" s="166"/>
      <c r="BJ228" s="166"/>
      <c r="BK228" s="166"/>
      <c r="BL228" s="166"/>
      <c r="BM228" s="166"/>
      <c r="BN228" s="166"/>
      <c r="BO228" s="166"/>
      <c r="BP228" s="166"/>
      <c r="BQ228" s="166"/>
      <c r="BR228" s="166"/>
      <c r="BS228" s="166"/>
      <c r="BT228" s="166"/>
    </row>
  </sheetData>
  <sheetProtection algorithmName="SHA-512" hashValue="hF7m5NO9Gv+BQg93ONJGxVkpACrB4PA6ndr6AwyMa0kEnkmoYxiNsAOUmhMVb1Rd5RG/Fbp9tMtwVVVZ7HpBoQ==" saltValue="o/IBCQ7Vl7TdBVCwft+ZXA==" spinCount="100000" sheet="1" selectLockedCells="1"/>
  <mergeCells count="29">
    <mergeCell ref="C65:D65"/>
    <mergeCell ref="C66:D66"/>
    <mergeCell ref="C64:D64"/>
    <mergeCell ref="C63:D63"/>
    <mergeCell ref="C73:D73"/>
    <mergeCell ref="C74:D74"/>
    <mergeCell ref="C69:D69"/>
    <mergeCell ref="C70:D70"/>
    <mergeCell ref="C67:D67"/>
    <mergeCell ref="C68:D68"/>
    <mergeCell ref="C71:D71"/>
    <mergeCell ref="C72:D72"/>
    <mergeCell ref="B50:J50"/>
    <mergeCell ref="P11:R11"/>
    <mergeCell ref="B12:M12"/>
    <mergeCell ref="N12:O12"/>
    <mergeCell ref="P12:R12"/>
    <mergeCell ref="P13:R13"/>
    <mergeCell ref="T6:Z6"/>
    <mergeCell ref="T17:Z17"/>
    <mergeCell ref="B10:M10"/>
    <mergeCell ref="B33:I33"/>
    <mergeCell ref="J33:K33"/>
    <mergeCell ref="N10:O10"/>
    <mergeCell ref="P10:R10"/>
    <mergeCell ref="E7:H7"/>
    <mergeCell ref="J7:L7"/>
    <mergeCell ref="B9:O9"/>
    <mergeCell ref="P9:R9"/>
  </mergeCells>
  <conditionalFormatting sqref="B140">
    <cfRule type="cellIs" dxfId="222" priority="155" operator="lessThanOrEqual">
      <formula>$AJ$141</formula>
    </cfRule>
    <cfRule type="cellIs" dxfId="221" priority="153" operator="between">
      <formula>$AI$142</formula>
      <formula>$AJ$142</formula>
    </cfRule>
    <cfRule type="cellIs" dxfId="220" priority="154" operator="greaterThanOrEqual">
      <formula>$AI$143</formula>
    </cfRule>
  </conditionalFormatting>
  <conditionalFormatting sqref="B143">
    <cfRule type="cellIs" dxfId="219" priority="158" operator="lessThanOrEqual">
      <formula>$AJ$145</formula>
    </cfRule>
    <cfRule type="cellIs" dxfId="218" priority="157" operator="greaterThanOrEqual">
      <formula>$AI$147</formula>
    </cfRule>
    <cfRule type="cellIs" dxfId="217" priority="156" operator="between">
      <formula>$AI$146</formula>
      <formula>$AJ$146</formula>
    </cfRule>
  </conditionalFormatting>
  <conditionalFormatting sqref="N37">
    <cfRule type="cellIs" dxfId="216" priority="142" stopIfTrue="1" operator="between">
      <formula>$T$37</formula>
      <formula>$Q$37</formula>
    </cfRule>
    <cfRule type="cellIs" dxfId="215" priority="37" operator="greaterThanOrEqual">
      <formula>$Q$37</formula>
    </cfRule>
    <cfRule type="cellIs" dxfId="214" priority="141" stopIfTrue="1" operator="lessThan">
      <formula>$T$37</formula>
    </cfRule>
  </conditionalFormatting>
  <conditionalFormatting sqref="N42">
    <cfRule type="cellIs" dxfId="213" priority="139" stopIfTrue="1" operator="greaterThan">
      <formula>$T$42</formula>
    </cfRule>
    <cfRule type="cellIs" dxfId="212" priority="140" stopIfTrue="1" operator="between">
      <formula>$T$42</formula>
      <formula>$Q$42</formula>
    </cfRule>
    <cfRule type="cellIs" dxfId="211" priority="36" operator="lessThanOrEqual">
      <formula>$Q$42</formula>
    </cfRule>
  </conditionalFormatting>
  <conditionalFormatting sqref="N43">
    <cfRule type="cellIs" dxfId="210" priority="138" stopIfTrue="1" operator="between">
      <formula>$T$43</formula>
      <formula>$Q$43</formula>
    </cfRule>
    <cfRule type="cellIs" dxfId="209" priority="137" stopIfTrue="1" operator="lessThan">
      <formula>$T$43</formula>
    </cfRule>
    <cfRule type="cellIs" dxfId="208" priority="35" operator="greaterThanOrEqual">
      <formula>$Q$43</formula>
    </cfRule>
  </conditionalFormatting>
  <conditionalFormatting sqref="N57">
    <cfRule type="cellIs" dxfId="207" priority="3" operator="equal">
      <formula>0</formula>
    </cfRule>
    <cfRule type="cellIs" dxfId="206" priority="44" operator="lessThan">
      <formula>$T$57</formula>
    </cfRule>
    <cfRule type="cellIs" dxfId="205" priority="43" operator="greaterThanOrEqual">
      <formula>$Q$57</formula>
    </cfRule>
    <cfRule type="cellIs" dxfId="204" priority="45" operator="between">
      <formula>$T$57</formula>
      <formula>$Q$57</formula>
    </cfRule>
  </conditionalFormatting>
  <conditionalFormatting sqref="N61">
    <cfRule type="cellIs" dxfId="203" priority="25" operator="equal">
      <formula>0</formula>
    </cfRule>
    <cfRule type="cellIs" dxfId="202" priority="28" operator="greaterThanOrEqual">
      <formula>$Q$61</formula>
    </cfRule>
    <cfRule type="cellIs" dxfId="201" priority="47" operator="lessThan">
      <formula>$T$61</formula>
    </cfRule>
    <cfRule type="cellIs" dxfId="200" priority="48" operator="between">
      <formula>$T$61</formula>
      <formula>$Q$61</formula>
    </cfRule>
  </conditionalFormatting>
  <conditionalFormatting sqref="N65">
    <cfRule type="cellIs" dxfId="199" priority="122" operator="lessThan">
      <formula>$T$65</formula>
    </cfRule>
    <cfRule type="cellIs" dxfId="198" priority="121" operator="between">
      <formula>$T$65</formula>
      <formula>$Q$65</formula>
    </cfRule>
    <cfRule type="cellIs" dxfId="197" priority="27" operator="greaterThanOrEqual">
      <formula>$Q$65</formula>
    </cfRule>
  </conditionalFormatting>
  <conditionalFormatting sqref="N65:N74">
    <cfRule type="cellIs" dxfId="196" priority="16" operator="equal">
      <formula>0</formula>
    </cfRule>
  </conditionalFormatting>
  <conditionalFormatting sqref="N66">
    <cfRule type="cellIs" dxfId="195" priority="119" operator="lessThan">
      <formula>$T$66</formula>
    </cfRule>
    <cfRule type="cellIs" dxfId="194" priority="118" operator="between">
      <formula>$T$66</formula>
      <formula>$Q$66</formula>
    </cfRule>
    <cfRule type="cellIs" dxfId="193" priority="99" operator="greaterThanOrEqual">
      <formula>$Q$66</formula>
    </cfRule>
  </conditionalFormatting>
  <conditionalFormatting sqref="N67">
    <cfRule type="cellIs" dxfId="192" priority="115" operator="lessThan">
      <formula>$T$67</formula>
    </cfRule>
    <cfRule type="cellIs" dxfId="191" priority="114" operator="between">
      <formula>$T$67</formula>
      <formula>$Q$67</formula>
    </cfRule>
    <cfRule type="cellIs" dxfId="190" priority="97" operator="greaterThanOrEqual">
      <formula>$Q$67</formula>
    </cfRule>
  </conditionalFormatting>
  <conditionalFormatting sqref="N68">
    <cfRule type="cellIs" dxfId="189" priority="113" operator="lessThan">
      <formula>$T$68</formula>
    </cfRule>
    <cfRule type="cellIs" dxfId="188" priority="112" operator="between">
      <formula>$T$68</formula>
      <formula>$Q$68</formula>
    </cfRule>
    <cfRule type="cellIs" dxfId="187" priority="96" operator="greaterThanOrEqual">
      <formula>$Q$68</formula>
    </cfRule>
  </conditionalFormatting>
  <conditionalFormatting sqref="N69">
    <cfRule type="cellIs" dxfId="186" priority="111" operator="lessThan">
      <formula>$T$69</formula>
    </cfRule>
    <cfRule type="cellIs" dxfId="185" priority="110" operator="between">
      <formula>$T$69</formula>
      <formula>$Q$69</formula>
    </cfRule>
    <cfRule type="cellIs" dxfId="184" priority="95" operator="greaterThanOrEqual">
      <formula>$Q$69</formula>
    </cfRule>
  </conditionalFormatting>
  <conditionalFormatting sqref="N70">
    <cfRule type="cellIs" dxfId="183" priority="94" operator="greaterThanOrEqual">
      <formula>$Q$70</formula>
    </cfRule>
    <cfRule type="cellIs" dxfId="182" priority="109" operator="lessThan">
      <formula>$T$70</formula>
    </cfRule>
    <cfRule type="cellIs" dxfId="181" priority="108" operator="between">
      <formula>$T$70</formula>
      <formula>$Q$70</formula>
    </cfRule>
  </conditionalFormatting>
  <conditionalFormatting sqref="N71">
    <cfRule type="cellIs" dxfId="180" priority="93" operator="greaterThanOrEqual">
      <formula>$Q$71</formula>
    </cfRule>
    <cfRule type="cellIs" dxfId="179" priority="107" operator="lessThan">
      <formula>$T$71</formula>
    </cfRule>
    <cfRule type="cellIs" dxfId="178" priority="106" operator="between">
      <formula>$T$71</formula>
      <formula>$Q$71</formula>
    </cfRule>
  </conditionalFormatting>
  <conditionalFormatting sqref="N72">
    <cfRule type="cellIs" dxfId="177" priority="92" operator="greaterThanOrEqual">
      <formula>$Q$72</formula>
    </cfRule>
    <cfRule type="cellIs" dxfId="176" priority="104" operator="between">
      <formula>$T$72</formula>
      <formula>$Q$72</formula>
    </cfRule>
    <cfRule type="cellIs" dxfId="175" priority="105" operator="lessThan">
      <formula>$T$72</formula>
    </cfRule>
  </conditionalFormatting>
  <conditionalFormatting sqref="N73">
    <cfRule type="cellIs" dxfId="174" priority="91" operator="greaterThanOrEqual">
      <formula>$Q$73</formula>
    </cfRule>
    <cfRule type="cellIs" dxfId="173" priority="103" operator="lessThan">
      <formula>$T$73</formula>
    </cfRule>
    <cfRule type="cellIs" dxfId="172" priority="102" operator="between">
      <formula>$T$73</formula>
      <formula>$Q$73</formula>
    </cfRule>
  </conditionalFormatting>
  <conditionalFormatting sqref="N74">
    <cfRule type="cellIs" dxfId="171" priority="101" operator="lessThan">
      <formula>$T$74</formula>
    </cfRule>
    <cfRule type="cellIs" dxfId="170" priority="90" operator="greaterThanOrEqual">
      <formula>$Q$74</formula>
    </cfRule>
    <cfRule type="cellIs" dxfId="169" priority="100" operator="between">
      <formula>$T$74</formula>
      <formula>$Q$74</formula>
    </cfRule>
  </conditionalFormatting>
  <conditionalFormatting sqref="N78">
    <cfRule type="cellIs" dxfId="168" priority="86" operator="between">
      <formula>$T$78</formula>
      <formula>$Q$78</formula>
    </cfRule>
    <cfRule type="cellIs" dxfId="167" priority="85" operator="greaterThanOrEqual">
      <formula>$Q$78</formula>
    </cfRule>
    <cfRule type="cellIs" dxfId="166" priority="87" operator="lessThan">
      <formula>$T$78</formula>
    </cfRule>
  </conditionalFormatting>
  <conditionalFormatting sqref="N78:N87">
    <cfRule type="cellIs" dxfId="165" priority="6" operator="equal">
      <formula>0</formula>
    </cfRule>
  </conditionalFormatting>
  <conditionalFormatting sqref="N79">
    <cfRule type="cellIs" dxfId="164" priority="83" operator="between">
      <formula>$T$79</formula>
      <formula>$Q$79</formula>
    </cfRule>
    <cfRule type="cellIs" dxfId="163" priority="84" operator="lessThan">
      <formula>$T$79</formula>
    </cfRule>
    <cfRule type="cellIs" dxfId="162" priority="82" operator="greaterThanOrEqual">
      <formula>$Q$79</formula>
    </cfRule>
  </conditionalFormatting>
  <conditionalFormatting sqref="N80">
    <cfRule type="cellIs" dxfId="161" priority="81" operator="lessThan">
      <formula>$T$80</formula>
    </cfRule>
    <cfRule type="cellIs" dxfId="160" priority="80" operator="between">
      <formula>$T$80</formula>
      <formula>$Q$80</formula>
    </cfRule>
    <cfRule type="cellIs" dxfId="159" priority="79" operator="greaterThanOrEqual">
      <formula>$Q$80</formula>
    </cfRule>
  </conditionalFormatting>
  <conditionalFormatting sqref="N81">
    <cfRule type="cellIs" dxfId="158" priority="76" operator="greaterThanOrEqual">
      <formula>$Q$81</formula>
    </cfRule>
    <cfRule type="cellIs" dxfId="157" priority="78" operator="lessThan">
      <formula>$T$81</formula>
    </cfRule>
    <cfRule type="cellIs" dxfId="156" priority="77" operator="between">
      <formula>$T$81</formula>
      <formula>$Q$81</formula>
    </cfRule>
  </conditionalFormatting>
  <conditionalFormatting sqref="N82">
    <cfRule type="cellIs" dxfId="155" priority="75" operator="lessThan">
      <formula>$T$82</formula>
    </cfRule>
    <cfRule type="cellIs" dxfId="154" priority="74" operator="between">
      <formula>$T$82</formula>
      <formula>$Q$82</formula>
    </cfRule>
    <cfRule type="cellIs" dxfId="153" priority="73" operator="greaterThanOrEqual">
      <formula>$Q$82</formula>
    </cfRule>
  </conditionalFormatting>
  <conditionalFormatting sqref="N83">
    <cfRule type="cellIs" dxfId="152" priority="72" operator="lessThan">
      <formula>$T$83</formula>
    </cfRule>
    <cfRule type="cellIs" dxfId="151" priority="71" operator="between">
      <formula>$T$83</formula>
      <formula>$Q$83</formula>
    </cfRule>
    <cfRule type="cellIs" dxfId="150" priority="70" operator="greaterThanOrEqual">
      <formula>$Q$83</formula>
    </cfRule>
  </conditionalFormatting>
  <conditionalFormatting sqref="N84">
    <cfRule type="cellIs" dxfId="149" priority="69" operator="lessThan">
      <formula>$T$84</formula>
    </cfRule>
    <cfRule type="cellIs" dxfId="148" priority="68" operator="between">
      <formula>$T$84</formula>
      <formula>$Q$84</formula>
    </cfRule>
    <cfRule type="cellIs" dxfId="147" priority="67" operator="greaterThanOrEqual">
      <formula>$Q$84</formula>
    </cfRule>
  </conditionalFormatting>
  <conditionalFormatting sqref="N85">
    <cfRule type="cellIs" dxfId="146" priority="64" operator="greaterThanOrEqual">
      <formula>$Q$85</formula>
    </cfRule>
    <cfRule type="cellIs" dxfId="145" priority="66" operator="lessThan">
      <formula>$T$85</formula>
    </cfRule>
    <cfRule type="cellIs" dxfId="144" priority="65" operator="between">
      <formula>$T$85</formula>
      <formula>$Q$85</formula>
    </cfRule>
  </conditionalFormatting>
  <conditionalFormatting sqref="N86">
    <cfRule type="cellIs" dxfId="143" priority="62" operator="between">
      <formula>$T$86</formula>
      <formula>$Q$86</formula>
    </cfRule>
    <cfRule type="cellIs" dxfId="142" priority="63" operator="lessThan">
      <formula>$T$86</formula>
    </cfRule>
    <cfRule type="cellIs" dxfId="141" priority="61" operator="greaterThanOrEqual">
      <formula>$Q$86</formula>
    </cfRule>
  </conditionalFormatting>
  <conditionalFormatting sqref="N87">
    <cfRule type="cellIs" dxfId="140" priority="60" operator="lessThan">
      <formula>$T$87</formula>
    </cfRule>
    <cfRule type="cellIs" dxfId="139" priority="59" operator="between">
      <formula>$T$87</formula>
      <formula>$Q$87</formula>
    </cfRule>
    <cfRule type="cellIs" dxfId="138" priority="58" operator="greaterThanOrEqual">
      <formula>$Q$87</formula>
    </cfRule>
  </conditionalFormatting>
  <conditionalFormatting sqref="N115">
    <cfRule type="cellIs" dxfId="137" priority="130" stopIfTrue="1" operator="between">
      <formula>$T$115</formula>
      <formula>$Q$115</formula>
    </cfRule>
    <cfRule type="cellIs" dxfId="136" priority="129" stopIfTrue="1" operator="lessThan">
      <formula>$T$115</formula>
    </cfRule>
    <cfRule type="cellIs" dxfId="135" priority="34" operator="greaterThanOrEqual">
      <formula>$Q$115</formula>
    </cfRule>
  </conditionalFormatting>
  <conditionalFormatting sqref="N117">
    <cfRule type="cellIs" dxfId="134" priority="127" stopIfTrue="1" operator="lessThanOrEqual">
      <formula>$T$117</formula>
    </cfRule>
    <cfRule type="cellIs" dxfId="133" priority="128" stopIfTrue="1" operator="between">
      <formula>$T$117</formula>
      <formula>$Q$117</formula>
    </cfRule>
    <cfRule type="cellIs" dxfId="132" priority="33" operator="greaterThanOrEqual">
      <formula>$Q$117</formula>
    </cfRule>
  </conditionalFormatting>
  <conditionalFormatting sqref="N121">
    <cfRule type="cellIs" dxfId="131" priority="145" stopIfTrue="1" operator="greaterThan">
      <formula>$T$121</formula>
    </cfRule>
    <cfRule type="cellIs" dxfId="130" priority="29" operator="lessThanOrEqual">
      <formula>$Q$121</formula>
    </cfRule>
    <cfRule type="cellIs" dxfId="129" priority="146" stopIfTrue="1" operator="between">
      <formula>$Q$121</formula>
      <formula>$T$121</formula>
    </cfRule>
  </conditionalFormatting>
  <conditionalFormatting sqref="N126">
    <cfRule type="cellIs" dxfId="128" priority="131" stopIfTrue="1" operator="lessThan">
      <formula>$T$126</formula>
    </cfRule>
    <cfRule type="cellIs" dxfId="127" priority="132" stopIfTrue="1" operator="between">
      <formula>$T$126</formula>
      <formula>$Q$126</formula>
    </cfRule>
    <cfRule type="cellIs" dxfId="126" priority="32" operator="greaterThanOrEqual">
      <formula>$Q$126</formula>
    </cfRule>
  </conditionalFormatting>
  <conditionalFormatting sqref="N131">
    <cfRule type="cellIs" dxfId="125" priority="133" stopIfTrue="1" operator="lessThan">
      <formula>$T$131</formula>
    </cfRule>
    <cfRule type="cellIs" dxfId="124" priority="134" stopIfTrue="1" operator="between">
      <formula>$T$131</formula>
      <formula>$Q$131</formula>
    </cfRule>
    <cfRule type="cellIs" dxfId="123" priority="31" operator="greaterThanOrEqual">
      <formula>$Q$131</formula>
    </cfRule>
  </conditionalFormatting>
  <conditionalFormatting sqref="N136">
    <cfRule type="cellIs" dxfId="122" priority="135" stopIfTrue="1" operator="lessThan">
      <formula>$T$136</formula>
    </cfRule>
    <cfRule type="cellIs" dxfId="121" priority="136" stopIfTrue="1" operator="between">
      <formula>$T$136</formula>
      <formula>$Q$136</formula>
    </cfRule>
    <cfRule type="cellIs" dxfId="120" priority="30" operator="greaterThan">
      <formula>$Q$136</formula>
    </cfRule>
  </conditionalFormatting>
  <conditionalFormatting sqref="P12:R13">
    <cfRule type="cellIs" dxfId="119" priority="123" operator="equal">
      <formula>0</formula>
    </cfRule>
  </conditionalFormatting>
  <conditionalFormatting sqref="Q57">
    <cfRule type="cellIs" dxfId="118" priority="42" operator="equal">
      <formula>0</formula>
    </cfRule>
  </conditionalFormatting>
  <conditionalFormatting sqref="Q61">
    <cfRule type="cellIs" dxfId="117" priority="49" operator="equal">
      <formula>0</formula>
    </cfRule>
  </conditionalFormatting>
  <conditionalFormatting sqref="Q65:Q74">
    <cfRule type="cellIs" dxfId="116" priority="120" operator="equal">
      <formula>0</formula>
    </cfRule>
  </conditionalFormatting>
  <conditionalFormatting sqref="Q78:Q87">
    <cfRule type="cellIs" dxfId="115" priority="88" operator="equal">
      <formula>0</formula>
    </cfRule>
  </conditionalFormatting>
  <conditionalFormatting sqref="W21">
    <cfRule type="cellIs" dxfId="114" priority="2" operator="equal">
      <formula>0</formula>
    </cfRule>
  </conditionalFormatting>
  <conditionalFormatting sqref="X22">
    <cfRule type="cellIs" dxfId="113" priority="1" operator="equal">
      <formula>0</formula>
    </cfRule>
  </conditionalFormatting>
  <printOptions horizontalCentered="1"/>
  <pageMargins left="0.19685039370078741" right="0.19685039370078741" top="0.19685039370078741" bottom="0.39370078740157483" header="0" footer="0.19685039370078741"/>
  <pageSetup paperSize="8" scale="57" orientation="portrait" r:id="rId1"/>
  <headerFooter>
    <oddFooter xml:space="preserve">&amp;LAgroéquipements / Chambre d'Agriculture&amp;CDiagnostic FLASH'MECA&amp;R&amp;D  / &amp;F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94C9E-9AFD-4492-8C48-B3CE4C9B06DE}">
  <sheetPr>
    <pageSetUpPr fitToPage="1"/>
  </sheetPr>
  <dimension ref="A1:IW226"/>
  <sheetViews>
    <sheetView zoomScale="75" zoomScaleNormal="75" workbookViewId="0">
      <selection activeCell="J7" sqref="J7:L7"/>
    </sheetView>
  </sheetViews>
  <sheetFormatPr baseColWidth="10" defaultRowHeight="14.4" x14ac:dyDescent="0.3"/>
  <cols>
    <col min="1" max="1" width="64.44140625" style="2" customWidth="1"/>
    <col min="2" max="11" width="7.6640625" style="2" customWidth="1"/>
    <col min="12" max="12" width="8.5546875" style="2" customWidth="1"/>
    <col min="13" max="13" width="7.6640625" style="2" customWidth="1"/>
    <col min="14" max="14" width="7.44140625" style="2" customWidth="1"/>
    <col min="15" max="15" width="9.6640625" style="2" customWidth="1"/>
    <col min="16" max="16" width="4.6640625" style="2" customWidth="1"/>
    <col min="17" max="17" width="12.6640625" style="3" customWidth="1"/>
    <col min="18" max="18" width="15.6640625" style="3" customWidth="1"/>
    <col min="19" max="19" width="5.6640625" style="2" customWidth="1"/>
    <col min="20" max="20" width="6.6640625" style="569" customWidth="1"/>
    <col min="21" max="21" width="28.109375" style="2" customWidth="1"/>
    <col min="22" max="22" width="28.6640625" style="2" customWidth="1"/>
    <col min="23" max="23" width="28.5546875" style="2" customWidth="1"/>
    <col min="24" max="24" width="5.5546875" style="4" customWidth="1"/>
    <col min="25" max="25" width="6.6640625" style="4" customWidth="1"/>
    <col min="26" max="26" width="19.6640625" style="4" customWidth="1"/>
    <col min="27" max="27" width="24.6640625" style="4" customWidth="1"/>
    <col min="28" max="28" width="23.6640625" style="4" customWidth="1"/>
    <col min="29" max="43" width="11.44140625" style="4" customWidth="1"/>
    <col min="44" max="46" width="11.44140625" style="560" customWidth="1"/>
    <col min="47" max="54" width="11.44140625" style="4" customWidth="1"/>
    <col min="55" max="55" width="5.77734375" style="4" customWidth="1"/>
    <col min="56" max="64" width="11.44140625" style="4" customWidth="1"/>
    <col min="65" max="65" width="24.6640625" style="4" customWidth="1"/>
    <col min="66" max="66" width="23.6640625" style="4" customWidth="1"/>
    <col min="67" max="72" width="11.44140625" style="4" customWidth="1"/>
    <col min="73" max="257" width="11.5546875" style="4"/>
    <col min="258" max="268" width="11.5546875" style="2"/>
    <col min="269" max="269" width="53.6640625" style="2" customWidth="1"/>
    <col min="270" max="279" width="6.6640625" style="2" customWidth="1"/>
    <col min="280" max="280" width="7.5546875" style="2" customWidth="1"/>
    <col min="281" max="281" width="5.6640625" style="2" customWidth="1"/>
    <col min="282" max="282" width="6.6640625" style="2" customWidth="1"/>
    <col min="283" max="283" width="9.6640625" style="2" customWidth="1"/>
    <col min="284" max="284" width="4.6640625" style="2" customWidth="1"/>
    <col min="285" max="285" width="12.6640625" style="2" customWidth="1"/>
    <col min="286" max="286" width="15.6640625" style="2" customWidth="1"/>
    <col min="287" max="287" width="5.6640625" style="2" customWidth="1"/>
    <col min="288" max="288" width="6.6640625" style="2" customWidth="1"/>
    <col min="289" max="289" width="19.6640625" style="2" customWidth="1"/>
    <col min="290" max="290" width="24.6640625" style="2" customWidth="1"/>
    <col min="291" max="291" width="23.6640625" style="2" customWidth="1"/>
    <col min="292" max="292" width="4.6640625" style="2" customWidth="1"/>
    <col min="293" max="293" width="6.6640625" style="2" customWidth="1"/>
    <col min="294" max="294" width="19.6640625" style="2" customWidth="1"/>
    <col min="295" max="295" width="24.6640625" style="2" customWidth="1"/>
    <col min="296" max="296" width="23.6640625" style="2" customWidth="1"/>
    <col min="297" max="320" width="11.44140625" style="2" customWidth="1"/>
    <col min="321" max="321" width="24.6640625" style="2" customWidth="1"/>
    <col min="322" max="322" width="23.6640625" style="2" customWidth="1"/>
    <col min="323" max="524" width="11.5546875" style="2"/>
    <col min="525" max="525" width="53.6640625" style="2" customWidth="1"/>
    <col min="526" max="535" width="6.6640625" style="2" customWidth="1"/>
    <col min="536" max="536" width="7.5546875" style="2" customWidth="1"/>
    <col min="537" max="537" width="5.6640625" style="2" customWidth="1"/>
    <col min="538" max="538" width="6.6640625" style="2" customWidth="1"/>
    <col min="539" max="539" width="9.6640625" style="2" customWidth="1"/>
    <col min="540" max="540" width="4.6640625" style="2" customWidth="1"/>
    <col min="541" max="541" width="12.6640625" style="2" customWidth="1"/>
    <col min="542" max="542" width="15.6640625" style="2" customWidth="1"/>
    <col min="543" max="543" width="5.6640625" style="2" customWidth="1"/>
    <col min="544" max="544" width="6.6640625" style="2" customWidth="1"/>
    <col min="545" max="545" width="19.6640625" style="2" customWidth="1"/>
    <col min="546" max="546" width="24.6640625" style="2" customWidth="1"/>
    <col min="547" max="547" width="23.6640625" style="2" customWidth="1"/>
    <col min="548" max="548" width="4.6640625" style="2" customWidth="1"/>
    <col min="549" max="549" width="6.6640625" style="2" customWidth="1"/>
    <col min="550" max="550" width="19.6640625" style="2" customWidth="1"/>
    <col min="551" max="551" width="24.6640625" style="2" customWidth="1"/>
    <col min="552" max="552" width="23.6640625" style="2" customWidth="1"/>
    <col min="553" max="576" width="11.44140625" style="2" customWidth="1"/>
    <col min="577" max="577" width="24.6640625" style="2" customWidth="1"/>
    <col min="578" max="578" width="23.6640625" style="2" customWidth="1"/>
    <col min="579" max="780" width="11.5546875" style="2"/>
    <col min="781" max="781" width="53.6640625" style="2" customWidth="1"/>
    <col min="782" max="791" width="6.6640625" style="2" customWidth="1"/>
    <col min="792" max="792" width="7.5546875" style="2" customWidth="1"/>
    <col min="793" max="793" width="5.6640625" style="2" customWidth="1"/>
    <col min="794" max="794" width="6.6640625" style="2" customWidth="1"/>
    <col min="795" max="795" width="9.6640625" style="2" customWidth="1"/>
    <col min="796" max="796" width="4.6640625" style="2" customWidth="1"/>
    <col min="797" max="797" width="12.6640625" style="2" customWidth="1"/>
    <col min="798" max="798" width="15.6640625" style="2" customWidth="1"/>
    <col min="799" max="799" width="5.6640625" style="2" customWidth="1"/>
    <col min="800" max="800" width="6.6640625" style="2" customWidth="1"/>
    <col min="801" max="801" width="19.6640625" style="2" customWidth="1"/>
    <col min="802" max="802" width="24.6640625" style="2" customWidth="1"/>
    <col min="803" max="803" width="23.6640625" style="2" customWidth="1"/>
    <col min="804" max="804" width="4.6640625" style="2" customWidth="1"/>
    <col min="805" max="805" width="6.6640625" style="2" customWidth="1"/>
    <col min="806" max="806" width="19.6640625" style="2" customWidth="1"/>
    <col min="807" max="807" width="24.6640625" style="2" customWidth="1"/>
    <col min="808" max="808" width="23.6640625" style="2" customWidth="1"/>
    <col min="809" max="832" width="11.44140625" style="2" customWidth="1"/>
    <col min="833" max="833" width="24.6640625" style="2" customWidth="1"/>
    <col min="834" max="834" width="23.6640625" style="2" customWidth="1"/>
    <col min="835" max="1036" width="11.5546875" style="2"/>
    <col min="1037" max="1037" width="53.6640625" style="2" customWidth="1"/>
    <col min="1038" max="1047" width="6.6640625" style="2" customWidth="1"/>
    <col min="1048" max="1048" width="7.5546875" style="2" customWidth="1"/>
    <col min="1049" max="1049" width="5.6640625" style="2" customWidth="1"/>
    <col min="1050" max="1050" width="6.6640625" style="2" customWidth="1"/>
    <col min="1051" max="1051" width="9.6640625" style="2" customWidth="1"/>
    <col min="1052" max="1052" width="4.6640625" style="2" customWidth="1"/>
    <col min="1053" max="1053" width="12.6640625" style="2" customWidth="1"/>
    <col min="1054" max="1054" width="15.6640625" style="2" customWidth="1"/>
    <col min="1055" max="1055" width="5.6640625" style="2" customWidth="1"/>
    <col min="1056" max="1056" width="6.6640625" style="2" customWidth="1"/>
    <col min="1057" max="1057" width="19.6640625" style="2" customWidth="1"/>
    <col min="1058" max="1058" width="24.6640625" style="2" customWidth="1"/>
    <col min="1059" max="1059" width="23.6640625" style="2" customWidth="1"/>
    <col min="1060" max="1060" width="4.6640625" style="2" customWidth="1"/>
    <col min="1061" max="1061" width="6.6640625" style="2" customWidth="1"/>
    <col min="1062" max="1062" width="19.6640625" style="2" customWidth="1"/>
    <col min="1063" max="1063" width="24.6640625" style="2" customWidth="1"/>
    <col min="1064" max="1064" width="23.6640625" style="2" customWidth="1"/>
    <col min="1065" max="1088" width="11.44140625" style="2" customWidth="1"/>
    <col min="1089" max="1089" width="24.6640625" style="2" customWidth="1"/>
    <col min="1090" max="1090" width="23.6640625" style="2" customWidth="1"/>
    <col min="1091" max="1292" width="11.5546875" style="2"/>
    <col min="1293" max="1293" width="53.6640625" style="2" customWidth="1"/>
    <col min="1294" max="1303" width="6.6640625" style="2" customWidth="1"/>
    <col min="1304" max="1304" width="7.5546875" style="2" customWidth="1"/>
    <col min="1305" max="1305" width="5.6640625" style="2" customWidth="1"/>
    <col min="1306" max="1306" width="6.6640625" style="2" customWidth="1"/>
    <col min="1307" max="1307" width="9.6640625" style="2" customWidth="1"/>
    <col min="1308" max="1308" width="4.6640625" style="2" customWidth="1"/>
    <col min="1309" max="1309" width="12.6640625" style="2" customWidth="1"/>
    <col min="1310" max="1310" width="15.6640625" style="2" customWidth="1"/>
    <col min="1311" max="1311" width="5.6640625" style="2" customWidth="1"/>
    <col min="1312" max="1312" width="6.6640625" style="2" customWidth="1"/>
    <col min="1313" max="1313" width="19.6640625" style="2" customWidth="1"/>
    <col min="1314" max="1314" width="24.6640625" style="2" customWidth="1"/>
    <col min="1315" max="1315" width="23.6640625" style="2" customWidth="1"/>
    <col min="1316" max="1316" width="4.6640625" style="2" customWidth="1"/>
    <col min="1317" max="1317" width="6.6640625" style="2" customWidth="1"/>
    <col min="1318" max="1318" width="19.6640625" style="2" customWidth="1"/>
    <col min="1319" max="1319" width="24.6640625" style="2" customWidth="1"/>
    <col min="1320" max="1320" width="23.6640625" style="2" customWidth="1"/>
    <col min="1321" max="1344" width="11.44140625" style="2" customWidth="1"/>
    <col min="1345" max="1345" width="24.6640625" style="2" customWidth="1"/>
    <col min="1346" max="1346" width="23.6640625" style="2" customWidth="1"/>
    <col min="1347" max="1548" width="11.5546875" style="2"/>
    <col min="1549" max="1549" width="53.6640625" style="2" customWidth="1"/>
    <col min="1550" max="1559" width="6.6640625" style="2" customWidth="1"/>
    <col min="1560" max="1560" width="7.5546875" style="2" customWidth="1"/>
    <col min="1561" max="1561" width="5.6640625" style="2" customWidth="1"/>
    <col min="1562" max="1562" width="6.6640625" style="2" customWidth="1"/>
    <col min="1563" max="1563" width="9.6640625" style="2" customWidth="1"/>
    <col min="1564" max="1564" width="4.6640625" style="2" customWidth="1"/>
    <col min="1565" max="1565" width="12.6640625" style="2" customWidth="1"/>
    <col min="1566" max="1566" width="15.6640625" style="2" customWidth="1"/>
    <col min="1567" max="1567" width="5.6640625" style="2" customWidth="1"/>
    <col min="1568" max="1568" width="6.6640625" style="2" customWidth="1"/>
    <col min="1569" max="1569" width="19.6640625" style="2" customWidth="1"/>
    <col min="1570" max="1570" width="24.6640625" style="2" customWidth="1"/>
    <col min="1571" max="1571" width="23.6640625" style="2" customWidth="1"/>
    <col min="1572" max="1572" width="4.6640625" style="2" customWidth="1"/>
    <col min="1573" max="1573" width="6.6640625" style="2" customWidth="1"/>
    <col min="1574" max="1574" width="19.6640625" style="2" customWidth="1"/>
    <col min="1575" max="1575" width="24.6640625" style="2" customWidth="1"/>
    <col min="1576" max="1576" width="23.6640625" style="2" customWidth="1"/>
    <col min="1577" max="1600" width="11.44140625" style="2" customWidth="1"/>
    <col min="1601" max="1601" width="24.6640625" style="2" customWidth="1"/>
    <col min="1602" max="1602" width="23.6640625" style="2" customWidth="1"/>
    <col min="1603" max="1804" width="11.5546875" style="2"/>
    <col min="1805" max="1805" width="53.6640625" style="2" customWidth="1"/>
    <col min="1806" max="1815" width="6.6640625" style="2" customWidth="1"/>
    <col min="1816" max="1816" width="7.5546875" style="2" customWidth="1"/>
    <col min="1817" max="1817" width="5.6640625" style="2" customWidth="1"/>
    <col min="1818" max="1818" width="6.6640625" style="2" customWidth="1"/>
    <col min="1819" max="1819" width="9.6640625" style="2" customWidth="1"/>
    <col min="1820" max="1820" width="4.6640625" style="2" customWidth="1"/>
    <col min="1821" max="1821" width="12.6640625" style="2" customWidth="1"/>
    <col min="1822" max="1822" width="15.6640625" style="2" customWidth="1"/>
    <col min="1823" max="1823" width="5.6640625" style="2" customWidth="1"/>
    <col min="1824" max="1824" width="6.6640625" style="2" customWidth="1"/>
    <col min="1825" max="1825" width="19.6640625" style="2" customWidth="1"/>
    <col min="1826" max="1826" width="24.6640625" style="2" customWidth="1"/>
    <col min="1827" max="1827" width="23.6640625" style="2" customWidth="1"/>
    <col min="1828" max="1828" width="4.6640625" style="2" customWidth="1"/>
    <col min="1829" max="1829" width="6.6640625" style="2" customWidth="1"/>
    <col min="1830" max="1830" width="19.6640625" style="2" customWidth="1"/>
    <col min="1831" max="1831" width="24.6640625" style="2" customWidth="1"/>
    <col min="1832" max="1832" width="23.6640625" style="2" customWidth="1"/>
    <col min="1833" max="1856" width="11.44140625" style="2" customWidth="1"/>
    <col min="1857" max="1857" width="24.6640625" style="2" customWidth="1"/>
    <col min="1858" max="1858" width="23.6640625" style="2" customWidth="1"/>
    <col min="1859" max="2060" width="11.5546875" style="2"/>
    <col min="2061" max="2061" width="53.6640625" style="2" customWidth="1"/>
    <col min="2062" max="2071" width="6.6640625" style="2" customWidth="1"/>
    <col min="2072" max="2072" width="7.5546875" style="2" customWidth="1"/>
    <col min="2073" max="2073" width="5.6640625" style="2" customWidth="1"/>
    <col min="2074" max="2074" width="6.6640625" style="2" customWidth="1"/>
    <col min="2075" max="2075" width="9.6640625" style="2" customWidth="1"/>
    <col min="2076" max="2076" width="4.6640625" style="2" customWidth="1"/>
    <col min="2077" max="2077" width="12.6640625" style="2" customWidth="1"/>
    <col min="2078" max="2078" width="15.6640625" style="2" customWidth="1"/>
    <col min="2079" max="2079" width="5.6640625" style="2" customWidth="1"/>
    <col min="2080" max="2080" width="6.6640625" style="2" customWidth="1"/>
    <col min="2081" max="2081" width="19.6640625" style="2" customWidth="1"/>
    <col min="2082" max="2082" width="24.6640625" style="2" customWidth="1"/>
    <col min="2083" max="2083" width="23.6640625" style="2" customWidth="1"/>
    <col min="2084" max="2084" width="4.6640625" style="2" customWidth="1"/>
    <col min="2085" max="2085" width="6.6640625" style="2" customWidth="1"/>
    <col min="2086" max="2086" width="19.6640625" style="2" customWidth="1"/>
    <col min="2087" max="2087" width="24.6640625" style="2" customWidth="1"/>
    <col min="2088" max="2088" width="23.6640625" style="2" customWidth="1"/>
    <col min="2089" max="2112" width="11.44140625" style="2" customWidth="1"/>
    <col min="2113" max="2113" width="24.6640625" style="2" customWidth="1"/>
    <col min="2114" max="2114" width="23.6640625" style="2" customWidth="1"/>
    <col min="2115" max="2316" width="11.5546875" style="2"/>
    <col min="2317" max="2317" width="53.6640625" style="2" customWidth="1"/>
    <col min="2318" max="2327" width="6.6640625" style="2" customWidth="1"/>
    <col min="2328" max="2328" width="7.5546875" style="2" customWidth="1"/>
    <col min="2329" max="2329" width="5.6640625" style="2" customWidth="1"/>
    <col min="2330" max="2330" width="6.6640625" style="2" customWidth="1"/>
    <col min="2331" max="2331" width="9.6640625" style="2" customWidth="1"/>
    <col min="2332" max="2332" width="4.6640625" style="2" customWidth="1"/>
    <col min="2333" max="2333" width="12.6640625" style="2" customWidth="1"/>
    <col min="2334" max="2334" width="15.6640625" style="2" customWidth="1"/>
    <col min="2335" max="2335" width="5.6640625" style="2" customWidth="1"/>
    <col min="2336" max="2336" width="6.6640625" style="2" customWidth="1"/>
    <col min="2337" max="2337" width="19.6640625" style="2" customWidth="1"/>
    <col min="2338" max="2338" width="24.6640625" style="2" customWidth="1"/>
    <col min="2339" max="2339" width="23.6640625" style="2" customWidth="1"/>
    <col min="2340" max="2340" width="4.6640625" style="2" customWidth="1"/>
    <col min="2341" max="2341" width="6.6640625" style="2" customWidth="1"/>
    <col min="2342" max="2342" width="19.6640625" style="2" customWidth="1"/>
    <col min="2343" max="2343" width="24.6640625" style="2" customWidth="1"/>
    <col min="2344" max="2344" width="23.6640625" style="2" customWidth="1"/>
    <col min="2345" max="2368" width="11.44140625" style="2" customWidth="1"/>
    <col min="2369" max="2369" width="24.6640625" style="2" customWidth="1"/>
    <col min="2370" max="2370" width="23.6640625" style="2" customWidth="1"/>
    <col min="2371" max="2572" width="11.5546875" style="2"/>
    <col min="2573" max="2573" width="53.6640625" style="2" customWidth="1"/>
    <col min="2574" max="2583" width="6.6640625" style="2" customWidth="1"/>
    <col min="2584" max="2584" width="7.5546875" style="2" customWidth="1"/>
    <col min="2585" max="2585" width="5.6640625" style="2" customWidth="1"/>
    <col min="2586" max="2586" width="6.6640625" style="2" customWidth="1"/>
    <col min="2587" max="2587" width="9.6640625" style="2" customWidth="1"/>
    <col min="2588" max="2588" width="4.6640625" style="2" customWidth="1"/>
    <col min="2589" max="2589" width="12.6640625" style="2" customWidth="1"/>
    <col min="2590" max="2590" width="15.6640625" style="2" customWidth="1"/>
    <col min="2591" max="2591" width="5.6640625" style="2" customWidth="1"/>
    <col min="2592" max="2592" width="6.6640625" style="2" customWidth="1"/>
    <col min="2593" max="2593" width="19.6640625" style="2" customWidth="1"/>
    <col min="2594" max="2594" width="24.6640625" style="2" customWidth="1"/>
    <col min="2595" max="2595" width="23.6640625" style="2" customWidth="1"/>
    <col min="2596" max="2596" width="4.6640625" style="2" customWidth="1"/>
    <col min="2597" max="2597" width="6.6640625" style="2" customWidth="1"/>
    <col min="2598" max="2598" width="19.6640625" style="2" customWidth="1"/>
    <col min="2599" max="2599" width="24.6640625" style="2" customWidth="1"/>
    <col min="2600" max="2600" width="23.6640625" style="2" customWidth="1"/>
    <col min="2601" max="2624" width="11.44140625" style="2" customWidth="1"/>
    <col min="2625" max="2625" width="24.6640625" style="2" customWidth="1"/>
    <col min="2626" max="2626" width="23.6640625" style="2" customWidth="1"/>
    <col min="2627" max="2828" width="11.5546875" style="2"/>
    <col min="2829" max="2829" width="53.6640625" style="2" customWidth="1"/>
    <col min="2830" max="2839" width="6.6640625" style="2" customWidth="1"/>
    <col min="2840" max="2840" width="7.5546875" style="2" customWidth="1"/>
    <col min="2841" max="2841" width="5.6640625" style="2" customWidth="1"/>
    <col min="2842" max="2842" width="6.6640625" style="2" customWidth="1"/>
    <col min="2843" max="2843" width="9.6640625" style="2" customWidth="1"/>
    <col min="2844" max="2844" width="4.6640625" style="2" customWidth="1"/>
    <col min="2845" max="2845" width="12.6640625" style="2" customWidth="1"/>
    <col min="2846" max="2846" width="15.6640625" style="2" customWidth="1"/>
    <col min="2847" max="2847" width="5.6640625" style="2" customWidth="1"/>
    <col min="2848" max="2848" width="6.6640625" style="2" customWidth="1"/>
    <col min="2849" max="2849" width="19.6640625" style="2" customWidth="1"/>
    <col min="2850" max="2850" width="24.6640625" style="2" customWidth="1"/>
    <col min="2851" max="2851" width="23.6640625" style="2" customWidth="1"/>
    <col min="2852" max="2852" width="4.6640625" style="2" customWidth="1"/>
    <col min="2853" max="2853" width="6.6640625" style="2" customWidth="1"/>
    <col min="2854" max="2854" width="19.6640625" style="2" customWidth="1"/>
    <col min="2855" max="2855" width="24.6640625" style="2" customWidth="1"/>
    <col min="2856" max="2856" width="23.6640625" style="2" customWidth="1"/>
    <col min="2857" max="2880" width="11.44140625" style="2" customWidth="1"/>
    <col min="2881" max="2881" width="24.6640625" style="2" customWidth="1"/>
    <col min="2882" max="2882" width="23.6640625" style="2" customWidth="1"/>
    <col min="2883" max="3084" width="11.5546875" style="2"/>
    <col min="3085" max="3085" width="53.6640625" style="2" customWidth="1"/>
    <col min="3086" max="3095" width="6.6640625" style="2" customWidth="1"/>
    <col min="3096" max="3096" width="7.5546875" style="2" customWidth="1"/>
    <col min="3097" max="3097" width="5.6640625" style="2" customWidth="1"/>
    <col min="3098" max="3098" width="6.6640625" style="2" customWidth="1"/>
    <col min="3099" max="3099" width="9.6640625" style="2" customWidth="1"/>
    <col min="3100" max="3100" width="4.6640625" style="2" customWidth="1"/>
    <col min="3101" max="3101" width="12.6640625" style="2" customWidth="1"/>
    <col min="3102" max="3102" width="15.6640625" style="2" customWidth="1"/>
    <col min="3103" max="3103" width="5.6640625" style="2" customWidth="1"/>
    <col min="3104" max="3104" width="6.6640625" style="2" customWidth="1"/>
    <col min="3105" max="3105" width="19.6640625" style="2" customWidth="1"/>
    <col min="3106" max="3106" width="24.6640625" style="2" customWidth="1"/>
    <col min="3107" max="3107" width="23.6640625" style="2" customWidth="1"/>
    <col min="3108" max="3108" width="4.6640625" style="2" customWidth="1"/>
    <col min="3109" max="3109" width="6.6640625" style="2" customWidth="1"/>
    <col min="3110" max="3110" width="19.6640625" style="2" customWidth="1"/>
    <col min="3111" max="3111" width="24.6640625" style="2" customWidth="1"/>
    <col min="3112" max="3112" width="23.6640625" style="2" customWidth="1"/>
    <col min="3113" max="3136" width="11.44140625" style="2" customWidth="1"/>
    <col min="3137" max="3137" width="24.6640625" style="2" customWidth="1"/>
    <col min="3138" max="3138" width="23.6640625" style="2" customWidth="1"/>
    <col min="3139" max="3340" width="11.5546875" style="2"/>
    <col min="3341" max="3341" width="53.6640625" style="2" customWidth="1"/>
    <col min="3342" max="3351" width="6.6640625" style="2" customWidth="1"/>
    <col min="3352" max="3352" width="7.5546875" style="2" customWidth="1"/>
    <col min="3353" max="3353" width="5.6640625" style="2" customWidth="1"/>
    <col min="3354" max="3354" width="6.6640625" style="2" customWidth="1"/>
    <col min="3355" max="3355" width="9.6640625" style="2" customWidth="1"/>
    <col min="3356" max="3356" width="4.6640625" style="2" customWidth="1"/>
    <col min="3357" max="3357" width="12.6640625" style="2" customWidth="1"/>
    <col min="3358" max="3358" width="15.6640625" style="2" customWidth="1"/>
    <col min="3359" max="3359" width="5.6640625" style="2" customWidth="1"/>
    <col min="3360" max="3360" width="6.6640625" style="2" customWidth="1"/>
    <col min="3361" max="3361" width="19.6640625" style="2" customWidth="1"/>
    <col min="3362" max="3362" width="24.6640625" style="2" customWidth="1"/>
    <col min="3363" max="3363" width="23.6640625" style="2" customWidth="1"/>
    <col min="3364" max="3364" width="4.6640625" style="2" customWidth="1"/>
    <col min="3365" max="3365" width="6.6640625" style="2" customWidth="1"/>
    <col min="3366" max="3366" width="19.6640625" style="2" customWidth="1"/>
    <col min="3367" max="3367" width="24.6640625" style="2" customWidth="1"/>
    <col min="3368" max="3368" width="23.6640625" style="2" customWidth="1"/>
    <col min="3369" max="3392" width="11.44140625" style="2" customWidth="1"/>
    <col min="3393" max="3393" width="24.6640625" style="2" customWidth="1"/>
    <col min="3394" max="3394" width="23.6640625" style="2" customWidth="1"/>
    <col min="3395" max="3596" width="11.5546875" style="2"/>
    <col min="3597" max="3597" width="53.6640625" style="2" customWidth="1"/>
    <col min="3598" max="3607" width="6.6640625" style="2" customWidth="1"/>
    <col min="3608" max="3608" width="7.5546875" style="2" customWidth="1"/>
    <col min="3609" max="3609" width="5.6640625" style="2" customWidth="1"/>
    <col min="3610" max="3610" width="6.6640625" style="2" customWidth="1"/>
    <col min="3611" max="3611" width="9.6640625" style="2" customWidth="1"/>
    <col min="3612" max="3612" width="4.6640625" style="2" customWidth="1"/>
    <col min="3613" max="3613" width="12.6640625" style="2" customWidth="1"/>
    <col min="3614" max="3614" width="15.6640625" style="2" customWidth="1"/>
    <col min="3615" max="3615" width="5.6640625" style="2" customWidth="1"/>
    <col min="3616" max="3616" width="6.6640625" style="2" customWidth="1"/>
    <col min="3617" max="3617" width="19.6640625" style="2" customWidth="1"/>
    <col min="3618" max="3618" width="24.6640625" style="2" customWidth="1"/>
    <col min="3619" max="3619" width="23.6640625" style="2" customWidth="1"/>
    <col min="3620" max="3620" width="4.6640625" style="2" customWidth="1"/>
    <col min="3621" max="3621" width="6.6640625" style="2" customWidth="1"/>
    <col min="3622" max="3622" width="19.6640625" style="2" customWidth="1"/>
    <col min="3623" max="3623" width="24.6640625" style="2" customWidth="1"/>
    <col min="3624" max="3624" width="23.6640625" style="2" customWidth="1"/>
    <col min="3625" max="3648" width="11.44140625" style="2" customWidth="1"/>
    <col min="3649" max="3649" width="24.6640625" style="2" customWidth="1"/>
    <col min="3650" max="3650" width="23.6640625" style="2" customWidth="1"/>
    <col min="3651" max="3852" width="11.5546875" style="2"/>
    <col min="3853" max="3853" width="53.6640625" style="2" customWidth="1"/>
    <col min="3854" max="3863" width="6.6640625" style="2" customWidth="1"/>
    <col min="3864" max="3864" width="7.5546875" style="2" customWidth="1"/>
    <col min="3865" max="3865" width="5.6640625" style="2" customWidth="1"/>
    <col min="3866" max="3866" width="6.6640625" style="2" customWidth="1"/>
    <col min="3867" max="3867" width="9.6640625" style="2" customWidth="1"/>
    <col min="3868" max="3868" width="4.6640625" style="2" customWidth="1"/>
    <col min="3869" max="3869" width="12.6640625" style="2" customWidth="1"/>
    <col min="3870" max="3870" width="15.6640625" style="2" customWidth="1"/>
    <col min="3871" max="3871" width="5.6640625" style="2" customWidth="1"/>
    <col min="3872" max="3872" width="6.6640625" style="2" customWidth="1"/>
    <col min="3873" max="3873" width="19.6640625" style="2" customWidth="1"/>
    <col min="3874" max="3874" width="24.6640625" style="2" customWidth="1"/>
    <col min="3875" max="3875" width="23.6640625" style="2" customWidth="1"/>
    <col min="3876" max="3876" width="4.6640625" style="2" customWidth="1"/>
    <col min="3877" max="3877" width="6.6640625" style="2" customWidth="1"/>
    <col min="3878" max="3878" width="19.6640625" style="2" customWidth="1"/>
    <col min="3879" max="3879" width="24.6640625" style="2" customWidth="1"/>
    <col min="3880" max="3880" width="23.6640625" style="2" customWidth="1"/>
    <col min="3881" max="3904" width="11.44140625" style="2" customWidth="1"/>
    <col min="3905" max="3905" width="24.6640625" style="2" customWidth="1"/>
    <col min="3906" max="3906" width="23.6640625" style="2" customWidth="1"/>
    <col min="3907" max="4108" width="11.5546875" style="2"/>
    <col min="4109" max="4109" width="53.6640625" style="2" customWidth="1"/>
    <col min="4110" max="4119" width="6.6640625" style="2" customWidth="1"/>
    <col min="4120" max="4120" width="7.5546875" style="2" customWidth="1"/>
    <col min="4121" max="4121" width="5.6640625" style="2" customWidth="1"/>
    <col min="4122" max="4122" width="6.6640625" style="2" customWidth="1"/>
    <col min="4123" max="4123" width="9.6640625" style="2" customWidth="1"/>
    <col min="4124" max="4124" width="4.6640625" style="2" customWidth="1"/>
    <col min="4125" max="4125" width="12.6640625" style="2" customWidth="1"/>
    <col min="4126" max="4126" width="15.6640625" style="2" customWidth="1"/>
    <col min="4127" max="4127" width="5.6640625" style="2" customWidth="1"/>
    <col min="4128" max="4128" width="6.6640625" style="2" customWidth="1"/>
    <col min="4129" max="4129" width="19.6640625" style="2" customWidth="1"/>
    <col min="4130" max="4130" width="24.6640625" style="2" customWidth="1"/>
    <col min="4131" max="4131" width="23.6640625" style="2" customWidth="1"/>
    <col min="4132" max="4132" width="4.6640625" style="2" customWidth="1"/>
    <col min="4133" max="4133" width="6.6640625" style="2" customWidth="1"/>
    <col min="4134" max="4134" width="19.6640625" style="2" customWidth="1"/>
    <col min="4135" max="4135" width="24.6640625" style="2" customWidth="1"/>
    <col min="4136" max="4136" width="23.6640625" style="2" customWidth="1"/>
    <col min="4137" max="4160" width="11.44140625" style="2" customWidth="1"/>
    <col min="4161" max="4161" width="24.6640625" style="2" customWidth="1"/>
    <col min="4162" max="4162" width="23.6640625" style="2" customWidth="1"/>
    <col min="4163" max="4364" width="11.5546875" style="2"/>
    <col min="4365" max="4365" width="53.6640625" style="2" customWidth="1"/>
    <col min="4366" max="4375" width="6.6640625" style="2" customWidth="1"/>
    <col min="4376" max="4376" width="7.5546875" style="2" customWidth="1"/>
    <col min="4377" max="4377" width="5.6640625" style="2" customWidth="1"/>
    <col min="4378" max="4378" width="6.6640625" style="2" customWidth="1"/>
    <col min="4379" max="4379" width="9.6640625" style="2" customWidth="1"/>
    <col min="4380" max="4380" width="4.6640625" style="2" customWidth="1"/>
    <col min="4381" max="4381" width="12.6640625" style="2" customWidth="1"/>
    <col min="4382" max="4382" width="15.6640625" style="2" customWidth="1"/>
    <col min="4383" max="4383" width="5.6640625" style="2" customWidth="1"/>
    <col min="4384" max="4384" width="6.6640625" style="2" customWidth="1"/>
    <col min="4385" max="4385" width="19.6640625" style="2" customWidth="1"/>
    <col min="4386" max="4386" width="24.6640625" style="2" customWidth="1"/>
    <col min="4387" max="4387" width="23.6640625" style="2" customWidth="1"/>
    <col min="4388" max="4388" width="4.6640625" style="2" customWidth="1"/>
    <col min="4389" max="4389" width="6.6640625" style="2" customWidth="1"/>
    <col min="4390" max="4390" width="19.6640625" style="2" customWidth="1"/>
    <col min="4391" max="4391" width="24.6640625" style="2" customWidth="1"/>
    <col min="4392" max="4392" width="23.6640625" style="2" customWidth="1"/>
    <col min="4393" max="4416" width="11.44140625" style="2" customWidth="1"/>
    <col min="4417" max="4417" width="24.6640625" style="2" customWidth="1"/>
    <col min="4418" max="4418" width="23.6640625" style="2" customWidth="1"/>
    <col min="4419" max="4620" width="11.5546875" style="2"/>
    <col min="4621" max="4621" width="53.6640625" style="2" customWidth="1"/>
    <col min="4622" max="4631" width="6.6640625" style="2" customWidth="1"/>
    <col min="4632" max="4632" width="7.5546875" style="2" customWidth="1"/>
    <col min="4633" max="4633" width="5.6640625" style="2" customWidth="1"/>
    <col min="4634" max="4634" width="6.6640625" style="2" customWidth="1"/>
    <col min="4635" max="4635" width="9.6640625" style="2" customWidth="1"/>
    <col min="4636" max="4636" width="4.6640625" style="2" customWidth="1"/>
    <col min="4637" max="4637" width="12.6640625" style="2" customWidth="1"/>
    <col min="4638" max="4638" width="15.6640625" style="2" customWidth="1"/>
    <col min="4639" max="4639" width="5.6640625" style="2" customWidth="1"/>
    <col min="4640" max="4640" width="6.6640625" style="2" customWidth="1"/>
    <col min="4641" max="4641" width="19.6640625" style="2" customWidth="1"/>
    <col min="4642" max="4642" width="24.6640625" style="2" customWidth="1"/>
    <col min="4643" max="4643" width="23.6640625" style="2" customWidth="1"/>
    <col min="4644" max="4644" width="4.6640625" style="2" customWidth="1"/>
    <col min="4645" max="4645" width="6.6640625" style="2" customWidth="1"/>
    <col min="4646" max="4646" width="19.6640625" style="2" customWidth="1"/>
    <col min="4647" max="4647" width="24.6640625" style="2" customWidth="1"/>
    <col min="4648" max="4648" width="23.6640625" style="2" customWidth="1"/>
    <col min="4649" max="4672" width="11.44140625" style="2" customWidth="1"/>
    <col min="4673" max="4673" width="24.6640625" style="2" customWidth="1"/>
    <col min="4674" max="4674" width="23.6640625" style="2" customWidth="1"/>
    <col min="4675" max="4876" width="11.5546875" style="2"/>
    <col min="4877" max="4877" width="53.6640625" style="2" customWidth="1"/>
    <col min="4878" max="4887" width="6.6640625" style="2" customWidth="1"/>
    <col min="4888" max="4888" width="7.5546875" style="2" customWidth="1"/>
    <col min="4889" max="4889" width="5.6640625" style="2" customWidth="1"/>
    <col min="4890" max="4890" width="6.6640625" style="2" customWidth="1"/>
    <col min="4891" max="4891" width="9.6640625" style="2" customWidth="1"/>
    <col min="4892" max="4892" width="4.6640625" style="2" customWidth="1"/>
    <col min="4893" max="4893" width="12.6640625" style="2" customWidth="1"/>
    <col min="4894" max="4894" width="15.6640625" style="2" customWidth="1"/>
    <col min="4895" max="4895" width="5.6640625" style="2" customWidth="1"/>
    <col min="4896" max="4896" width="6.6640625" style="2" customWidth="1"/>
    <col min="4897" max="4897" width="19.6640625" style="2" customWidth="1"/>
    <col min="4898" max="4898" width="24.6640625" style="2" customWidth="1"/>
    <col min="4899" max="4899" width="23.6640625" style="2" customWidth="1"/>
    <col min="4900" max="4900" width="4.6640625" style="2" customWidth="1"/>
    <col min="4901" max="4901" width="6.6640625" style="2" customWidth="1"/>
    <col min="4902" max="4902" width="19.6640625" style="2" customWidth="1"/>
    <col min="4903" max="4903" width="24.6640625" style="2" customWidth="1"/>
    <col min="4904" max="4904" width="23.6640625" style="2" customWidth="1"/>
    <col min="4905" max="4928" width="11.44140625" style="2" customWidth="1"/>
    <col min="4929" max="4929" width="24.6640625" style="2" customWidth="1"/>
    <col min="4930" max="4930" width="23.6640625" style="2" customWidth="1"/>
    <col min="4931" max="5132" width="11.5546875" style="2"/>
    <col min="5133" max="5133" width="53.6640625" style="2" customWidth="1"/>
    <col min="5134" max="5143" width="6.6640625" style="2" customWidth="1"/>
    <col min="5144" max="5144" width="7.5546875" style="2" customWidth="1"/>
    <col min="5145" max="5145" width="5.6640625" style="2" customWidth="1"/>
    <col min="5146" max="5146" width="6.6640625" style="2" customWidth="1"/>
    <col min="5147" max="5147" width="9.6640625" style="2" customWidth="1"/>
    <col min="5148" max="5148" width="4.6640625" style="2" customWidth="1"/>
    <col min="5149" max="5149" width="12.6640625" style="2" customWidth="1"/>
    <col min="5150" max="5150" width="15.6640625" style="2" customWidth="1"/>
    <col min="5151" max="5151" width="5.6640625" style="2" customWidth="1"/>
    <col min="5152" max="5152" width="6.6640625" style="2" customWidth="1"/>
    <col min="5153" max="5153" width="19.6640625" style="2" customWidth="1"/>
    <col min="5154" max="5154" width="24.6640625" style="2" customWidth="1"/>
    <col min="5155" max="5155" width="23.6640625" style="2" customWidth="1"/>
    <col min="5156" max="5156" width="4.6640625" style="2" customWidth="1"/>
    <col min="5157" max="5157" width="6.6640625" style="2" customWidth="1"/>
    <col min="5158" max="5158" width="19.6640625" style="2" customWidth="1"/>
    <col min="5159" max="5159" width="24.6640625" style="2" customWidth="1"/>
    <col min="5160" max="5160" width="23.6640625" style="2" customWidth="1"/>
    <col min="5161" max="5184" width="11.44140625" style="2" customWidth="1"/>
    <col min="5185" max="5185" width="24.6640625" style="2" customWidth="1"/>
    <col min="5186" max="5186" width="23.6640625" style="2" customWidth="1"/>
    <col min="5187" max="5388" width="11.5546875" style="2"/>
    <col min="5389" max="5389" width="53.6640625" style="2" customWidth="1"/>
    <col min="5390" max="5399" width="6.6640625" style="2" customWidth="1"/>
    <col min="5400" max="5400" width="7.5546875" style="2" customWidth="1"/>
    <col min="5401" max="5401" width="5.6640625" style="2" customWidth="1"/>
    <col min="5402" max="5402" width="6.6640625" style="2" customWidth="1"/>
    <col min="5403" max="5403" width="9.6640625" style="2" customWidth="1"/>
    <col min="5404" max="5404" width="4.6640625" style="2" customWidth="1"/>
    <col min="5405" max="5405" width="12.6640625" style="2" customWidth="1"/>
    <col min="5406" max="5406" width="15.6640625" style="2" customWidth="1"/>
    <col min="5407" max="5407" width="5.6640625" style="2" customWidth="1"/>
    <col min="5408" max="5408" width="6.6640625" style="2" customWidth="1"/>
    <col min="5409" max="5409" width="19.6640625" style="2" customWidth="1"/>
    <col min="5410" max="5410" width="24.6640625" style="2" customWidth="1"/>
    <col min="5411" max="5411" width="23.6640625" style="2" customWidth="1"/>
    <col min="5412" max="5412" width="4.6640625" style="2" customWidth="1"/>
    <col min="5413" max="5413" width="6.6640625" style="2" customWidth="1"/>
    <col min="5414" max="5414" width="19.6640625" style="2" customWidth="1"/>
    <col min="5415" max="5415" width="24.6640625" style="2" customWidth="1"/>
    <col min="5416" max="5416" width="23.6640625" style="2" customWidth="1"/>
    <col min="5417" max="5440" width="11.44140625" style="2" customWidth="1"/>
    <col min="5441" max="5441" width="24.6640625" style="2" customWidth="1"/>
    <col min="5442" max="5442" width="23.6640625" style="2" customWidth="1"/>
    <col min="5443" max="5644" width="11.5546875" style="2"/>
    <col min="5645" max="5645" width="53.6640625" style="2" customWidth="1"/>
    <col min="5646" max="5655" width="6.6640625" style="2" customWidth="1"/>
    <col min="5656" max="5656" width="7.5546875" style="2" customWidth="1"/>
    <col min="5657" max="5657" width="5.6640625" style="2" customWidth="1"/>
    <col min="5658" max="5658" width="6.6640625" style="2" customWidth="1"/>
    <col min="5659" max="5659" width="9.6640625" style="2" customWidth="1"/>
    <col min="5660" max="5660" width="4.6640625" style="2" customWidth="1"/>
    <col min="5661" max="5661" width="12.6640625" style="2" customWidth="1"/>
    <col min="5662" max="5662" width="15.6640625" style="2" customWidth="1"/>
    <col min="5663" max="5663" width="5.6640625" style="2" customWidth="1"/>
    <col min="5664" max="5664" width="6.6640625" style="2" customWidth="1"/>
    <col min="5665" max="5665" width="19.6640625" style="2" customWidth="1"/>
    <col min="5666" max="5666" width="24.6640625" style="2" customWidth="1"/>
    <col min="5667" max="5667" width="23.6640625" style="2" customWidth="1"/>
    <col min="5668" max="5668" width="4.6640625" style="2" customWidth="1"/>
    <col min="5669" max="5669" width="6.6640625" style="2" customWidth="1"/>
    <col min="5670" max="5670" width="19.6640625" style="2" customWidth="1"/>
    <col min="5671" max="5671" width="24.6640625" style="2" customWidth="1"/>
    <col min="5672" max="5672" width="23.6640625" style="2" customWidth="1"/>
    <col min="5673" max="5696" width="11.44140625" style="2" customWidth="1"/>
    <col min="5697" max="5697" width="24.6640625" style="2" customWidth="1"/>
    <col min="5698" max="5698" width="23.6640625" style="2" customWidth="1"/>
    <col min="5699" max="5900" width="11.5546875" style="2"/>
    <col min="5901" max="5901" width="53.6640625" style="2" customWidth="1"/>
    <col min="5902" max="5911" width="6.6640625" style="2" customWidth="1"/>
    <col min="5912" max="5912" width="7.5546875" style="2" customWidth="1"/>
    <col min="5913" max="5913" width="5.6640625" style="2" customWidth="1"/>
    <col min="5914" max="5914" width="6.6640625" style="2" customWidth="1"/>
    <col min="5915" max="5915" width="9.6640625" style="2" customWidth="1"/>
    <col min="5916" max="5916" width="4.6640625" style="2" customWidth="1"/>
    <col min="5917" max="5917" width="12.6640625" style="2" customWidth="1"/>
    <col min="5918" max="5918" width="15.6640625" style="2" customWidth="1"/>
    <col min="5919" max="5919" width="5.6640625" style="2" customWidth="1"/>
    <col min="5920" max="5920" width="6.6640625" style="2" customWidth="1"/>
    <col min="5921" max="5921" width="19.6640625" style="2" customWidth="1"/>
    <col min="5922" max="5922" width="24.6640625" style="2" customWidth="1"/>
    <col min="5923" max="5923" width="23.6640625" style="2" customWidth="1"/>
    <col min="5924" max="5924" width="4.6640625" style="2" customWidth="1"/>
    <col min="5925" max="5925" width="6.6640625" style="2" customWidth="1"/>
    <col min="5926" max="5926" width="19.6640625" style="2" customWidth="1"/>
    <col min="5927" max="5927" width="24.6640625" style="2" customWidth="1"/>
    <col min="5928" max="5928" width="23.6640625" style="2" customWidth="1"/>
    <col min="5929" max="5952" width="11.44140625" style="2" customWidth="1"/>
    <col min="5953" max="5953" width="24.6640625" style="2" customWidth="1"/>
    <col min="5954" max="5954" width="23.6640625" style="2" customWidth="1"/>
    <col min="5955" max="6156" width="11.5546875" style="2"/>
    <col min="6157" max="6157" width="53.6640625" style="2" customWidth="1"/>
    <col min="6158" max="6167" width="6.6640625" style="2" customWidth="1"/>
    <col min="6168" max="6168" width="7.5546875" style="2" customWidth="1"/>
    <col min="6169" max="6169" width="5.6640625" style="2" customWidth="1"/>
    <col min="6170" max="6170" width="6.6640625" style="2" customWidth="1"/>
    <col min="6171" max="6171" width="9.6640625" style="2" customWidth="1"/>
    <col min="6172" max="6172" width="4.6640625" style="2" customWidth="1"/>
    <col min="6173" max="6173" width="12.6640625" style="2" customWidth="1"/>
    <col min="6174" max="6174" width="15.6640625" style="2" customWidth="1"/>
    <col min="6175" max="6175" width="5.6640625" style="2" customWidth="1"/>
    <col min="6176" max="6176" width="6.6640625" style="2" customWidth="1"/>
    <col min="6177" max="6177" width="19.6640625" style="2" customWidth="1"/>
    <col min="6178" max="6178" width="24.6640625" style="2" customWidth="1"/>
    <col min="6179" max="6179" width="23.6640625" style="2" customWidth="1"/>
    <col min="6180" max="6180" width="4.6640625" style="2" customWidth="1"/>
    <col min="6181" max="6181" width="6.6640625" style="2" customWidth="1"/>
    <col min="6182" max="6182" width="19.6640625" style="2" customWidth="1"/>
    <col min="6183" max="6183" width="24.6640625" style="2" customWidth="1"/>
    <col min="6184" max="6184" width="23.6640625" style="2" customWidth="1"/>
    <col min="6185" max="6208" width="11.44140625" style="2" customWidth="1"/>
    <col min="6209" max="6209" width="24.6640625" style="2" customWidth="1"/>
    <col min="6210" max="6210" width="23.6640625" style="2" customWidth="1"/>
    <col min="6211" max="6412" width="11.5546875" style="2"/>
    <col min="6413" max="6413" width="53.6640625" style="2" customWidth="1"/>
    <col min="6414" max="6423" width="6.6640625" style="2" customWidth="1"/>
    <col min="6424" max="6424" width="7.5546875" style="2" customWidth="1"/>
    <col min="6425" max="6425" width="5.6640625" style="2" customWidth="1"/>
    <col min="6426" max="6426" width="6.6640625" style="2" customWidth="1"/>
    <col min="6427" max="6427" width="9.6640625" style="2" customWidth="1"/>
    <col min="6428" max="6428" width="4.6640625" style="2" customWidth="1"/>
    <col min="6429" max="6429" width="12.6640625" style="2" customWidth="1"/>
    <col min="6430" max="6430" width="15.6640625" style="2" customWidth="1"/>
    <col min="6431" max="6431" width="5.6640625" style="2" customWidth="1"/>
    <col min="6432" max="6432" width="6.6640625" style="2" customWidth="1"/>
    <col min="6433" max="6433" width="19.6640625" style="2" customWidth="1"/>
    <col min="6434" max="6434" width="24.6640625" style="2" customWidth="1"/>
    <col min="6435" max="6435" width="23.6640625" style="2" customWidth="1"/>
    <col min="6436" max="6436" width="4.6640625" style="2" customWidth="1"/>
    <col min="6437" max="6437" width="6.6640625" style="2" customWidth="1"/>
    <col min="6438" max="6438" width="19.6640625" style="2" customWidth="1"/>
    <col min="6439" max="6439" width="24.6640625" style="2" customWidth="1"/>
    <col min="6440" max="6440" width="23.6640625" style="2" customWidth="1"/>
    <col min="6441" max="6464" width="11.44140625" style="2" customWidth="1"/>
    <col min="6465" max="6465" width="24.6640625" style="2" customWidth="1"/>
    <col min="6466" max="6466" width="23.6640625" style="2" customWidth="1"/>
    <col min="6467" max="6668" width="11.5546875" style="2"/>
    <col min="6669" max="6669" width="53.6640625" style="2" customWidth="1"/>
    <col min="6670" max="6679" width="6.6640625" style="2" customWidth="1"/>
    <col min="6680" max="6680" width="7.5546875" style="2" customWidth="1"/>
    <col min="6681" max="6681" width="5.6640625" style="2" customWidth="1"/>
    <col min="6682" max="6682" width="6.6640625" style="2" customWidth="1"/>
    <col min="6683" max="6683" width="9.6640625" style="2" customWidth="1"/>
    <col min="6684" max="6684" width="4.6640625" style="2" customWidth="1"/>
    <col min="6685" max="6685" width="12.6640625" style="2" customWidth="1"/>
    <col min="6686" max="6686" width="15.6640625" style="2" customWidth="1"/>
    <col min="6687" max="6687" width="5.6640625" style="2" customWidth="1"/>
    <col min="6688" max="6688" width="6.6640625" style="2" customWidth="1"/>
    <col min="6689" max="6689" width="19.6640625" style="2" customWidth="1"/>
    <col min="6690" max="6690" width="24.6640625" style="2" customWidth="1"/>
    <col min="6691" max="6691" width="23.6640625" style="2" customWidth="1"/>
    <col min="6692" max="6692" width="4.6640625" style="2" customWidth="1"/>
    <col min="6693" max="6693" width="6.6640625" style="2" customWidth="1"/>
    <col min="6694" max="6694" width="19.6640625" style="2" customWidth="1"/>
    <col min="6695" max="6695" width="24.6640625" style="2" customWidth="1"/>
    <col min="6696" max="6696" width="23.6640625" style="2" customWidth="1"/>
    <col min="6697" max="6720" width="11.44140625" style="2" customWidth="1"/>
    <col min="6721" max="6721" width="24.6640625" style="2" customWidth="1"/>
    <col min="6722" max="6722" width="23.6640625" style="2" customWidth="1"/>
    <col min="6723" max="6924" width="11.5546875" style="2"/>
    <col min="6925" max="6925" width="53.6640625" style="2" customWidth="1"/>
    <col min="6926" max="6935" width="6.6640625" style="2" customWidth="1"/>
    <col min="6936" max="6936" width="7.5546875" style="2" customWidth="1"/>
    <col min="6937" max="6937" width="5.6640625" style="2" customWidth="1"/>
    <col min="6938" max="6938" width="6.6640625" style="2" customWidth="1"/>
    <col min="6939" max="6939" width="9.6640625" style="2" customWidth="1"/>
    <col min="6940" max="6940" width="4.6640625" style="2" customWidth="1"/>
    <col min="6941" max="6941" width="12.6640625" style="2" customWidth="1"/>
    <col min="6942" max="6942" width="15.6640625" style="2" customWidth="1"/>
    <col min="6943" max="6943" width="5.6640625" style="2" customWidth="1"/>
    <col min="6944" max="6944" width="6.6640625" style="2" customWidth="1"/>
    <col min="6945" max="6945" width="19.6640625" style="2" customWidth="1"/>
    <col min="6946" max="6946" width="24.6640625" style="2" customWidth="1"/>
    <col min="6947" max="6947" width="23.6640625" style="2" customWidth="1"/>
    <col min="6948" max="6948" width="4.6640625" style="2" customWidth="1"/>
    <col min="6949" max="6949" width="6.6640625" style="2" customWidth="1"/>
    <col min="6950" max="6950" width="19.6640625" style="2" customWidth="1"/>
    <col min="6951" max="6951" width="24.6640625" style="2" customWidth="1"/>
    <col min="6952" max="6952" width="23.6640625" style="2" customWidth="1"/>
    <col min="6953" max="6976" width="11.44140625" style="2" customWidth="1"/>
    <col min="6977" max="6977" width="24.6640625" style="2" customWidth="1"/>
    <col min="6978" max="6978" width="23.6640625" style="2" customWidth="1"/>
    <col min="6979" max="7180" width="11.5546875" style="2"/>
    <col min="7181" max="7181" width="53.6640625" style="2" customWidth="1"/>
    <col min="7182" max="7191" width="6.6640625" style="2" customWidth="1"/>
    <col min="7192" max="7192" width="7.5546875" style="2" customWidth="1"/>
    <col min="7193" max="7193" width="5.6640625" style="2" customWidth="1"/>
    <col min="7194" max="7194" width="6.6640625" style="2" customWidth="1"/>
    <col min="7195" max="7195" width="9.6640625" style="2" customWidth="1"/>
    <col min="7196" max="7196" width="4.6640625" style="2" customWidth="1"/>
    <col min="7197" max="7197" width="12.6640625" style="2" customWidth="1"/>
    <col min="7198" max="7198" width="15.6640625" style="2" customWidth="1"/>
    <col min="7199" max="7199" width="5.6640625" style="2" customWidth="1"/>
    <col min="7200" max="7200" width="6.6640625" style="2" customWidth="1"/>
    <col min="7201" max="7201" width="19.6640625" style="2" customWidth="1"/>
    <col min="7202" max="7202" width="24.6640625" style="2" customWidth="1"/>
    <col min="7203" max="7203" width="23.6640625" style="2" customWidth="1"/>
    <col min="7204" max="7204" width="4.6640625" style="2" customWidth="1"/>
    <col min="7205" max="7205" width="6.6640625" style="2" customWidth="1"/>
    <col min="7206" max="7206" width="19.6640625" style="2" customWidth="1"/>
    <col min="7207" max="7207" width="24.6640625" style="2" customWidth="1"/>
    <col min="7208" max="7208" width="23.6640625" style="2" customWidth="1"/>
    <col min="7209" max="7232" width="11.44140625" style="2" customWidth="1"/>
    <col min="7233" max="7233" width="24.6640625" style="2" customWidth="1"/>
    <col min="7234" max="7234" width="23.6640625" style="2" customWidth="1"/>
    <col min="7235" max="7436" width="11.5546875" style="2"/>
    <col min="7437" max="7437" width="53.6640625" style="2" customWidth="1"/>
    <col min="7438" max="7447" width="6.6640625" style="2" customWidth="1"/>
    <col min="7448" max="7448" width="7.5546875" style="2" customWidth="1"/>
    <col min="7449" max="7449" width="5.6640625" style="2" customWidth="1"/>
    <col min="7450" max="7450" width="6.6640625" style="2" customWidth="1"/>
    <col min="7451" max="7451" width="9.6640625" style="2" customWidth="1"/>
    <col min="7452" max="7452" width="4.6640625" style="2" customWidth="1"/>
    <col min="7453" max="7453" width="12.6640625" style="2" customWidth="1"/>
    <col min="7454" max="7454" width="15.6640625" style="2" customWidth="1"/>
    <col min="7455" max="7455" width="5.6640625" style="2" customWidth="1"/>
    <col min="7456" max="7456" width="6.6640625" style="2" customWidth="1"/>
    <col min="7457" max="7457" width="19.6640625" style="2" customWidth="1"/>
    <col min="7458" max="7458" width="24.6640625" style="2" customWidth="1"/>
    <col min="7459" max="7459" width="23.6640625" style="2" customWidth="1"/>
    <col min="7460" max="7460" width="4.6640625" style="2" customWidth="1"/>
    <col min="7461" max="7461" width="6.6640625" style="2" customWidth="1"/>
    <col min="7462" max="7462" width="19.6640625" style="2" customWidth="1"/>
    <col min="7463" max="7463" width="24.6640625" style="2" customWidth="1"/>
    <col min="7464" max="7464" width="23.6640625" style="2" customWidth="1"/>
    <col min="7465" max="7488" width="11.44140625" style="2" customWidth="1"/>
    <col min="7489" max="7489" width="24.6640625" style="2" customWidth="1"/>
    <col min="7490" max="7490" width="23.6640625" style="2" customWidth="1"/>
    <col min="7491" max="7692" width="11.5546875" style="2"/>
    <col min="7693" max="7693" width="53.6640625" style="2" customWidth="1"/>
    <col min="7694" max="7703" width="6.6640625" style="2" customWidth="1"/>
    <col min="7704" max="7704" width="7.5546875" style="2" customWidth="1"/>
    <col min="7705" max="7705" width="5.6640625" style="2" customWidth="1"/>
    <col min="7706" max="7706" width="6.6640625" style="2" customWidth="1"/>
    <col min="7707" max="7707" width="9.6640625" style="2" customWidth="1"/>
    <col min="7708" max="7708" width="4.6640625" style="2" customWidth="1"/>
    <col min="7709" max="7709" width="12.6640625" style="2" customWidth="1"/>
    <col min="7710" max="7710" width="15.6640625" style="2" customWidth="1"/>
    <col min="7711" max="7711" width="5.6640625" style="2" customWidth="1"/>
    <col min="7712" max="7712" width="6.6640625" style="2" customWidth="1"/>
    <col min="7713" max="7713" width="19.6640625" style="2" customWidth="1"/>
    <col min="7714" max="7714" width="24.6640625" style="2" customWidth="1"/>
    <col min="7715" max="7715" width="23.6640625" style="2" customWidth="1"/>
    <col min="7716" max="7716" width="4.6640625" style="2" customWidth="1"/>
    <col min="7717" max="7717" width="6.6640625" style="2" customWidth="1"/>
    <col min="7718" max="7718" width="19.6640625" style="2" customWidth="1"/>
    <col min="7719" max="7719" width="24.6640625" style="2" customWidth="1"/>
    <col min="7720" max="7720" width="23.6640625" style="2" customWidth="1"/>
    <col min="7721" max="7744" width="11.44140625" style="2" customWidth="1"/>
    <col min="7745" max="7745" width="24.6640625" style="2" customWidth="1"/>
    <col min="7746" max="7746" width="23.6640625" style="2" customWidth="1"/>
    <col min="7747" max="7948" width="11.5546875" style="2"/>
    <col min="7949" max="7949" width="53.6640625" style="2" customWidth="1"/>
    <col min="7950" max="7959" width="6.6640625" style="2" customWidth="1"/>
    <col min="7960" max="7960" width="7.5546875" style="2" customWidth="1"/>
    <col min="7961" max="7961" width="5.6640625" style="2" customWidth="1"/>
    <col min="7962" max="7962" width="6.6640625" style="2" customWidth="1"/>
    <col min="7963" max="7963" width="9.6640625" style="2" customWidth="1"/>
    <col min="7964" max="7964" width="4.6640625" style="2" customWidth="1"/>
    <col min="7965" max="7965" width="12.6640625" style="2" customWidth="1"/>
    <col min="7966" max="7966" width="15.6640625" style="2" customWidth="1"/>
    <col min="7967" max="7967" width="5.6640625" style="2" customWidth="1"/>
    <col min="7968" max="7968" width="6.6640625" style="2" customWidth="1"/>
    <col min="7969" max="7969" width="19.6640625" style="2" customWidth="1"/>
    <col min="7970" max="7970" width="24.6640625" style="2" customWidth="1"/>
    <col min="7971" max="7971" width="23.6640625" style="2" customWidth="1"/>
    <col min="7972" max="7972" width="4.6640625" style="2" customWidth="1"/>
    <col min="7973" max="7973" width="6.6640625" style="2" customWidth="1"/>
    <col min="7974" max="7974" width="19.6640625" style="2" customWidth="1"/>
    <col min="7975" max="7975" width="24.6640625" style="2" customWidth="1"/>
    <col min="7976" max="7976" width="23.6640625" style="2" customWidth="1"/>
    <col min="7977" max="8000" width="11.44140625" style="2" customWidth="1"/>
    <col min="8001" max="8001" width="24.6640625" style="2" customWidth="1"/>
    <col min="8002" max="8002" width="23.6640625" style="2" customWidth="1"/>
    <col min="8003" max="8204" width="11.5546875" style="2"/>
    <col min="8205" max="8205" width="53.6640625" style="2" customWidth="1"/>
    <col min="8206" max="8215" width="6.6640625" style="2" customWidth="1"/>
    <col min="8216" max="8216" width="7.5546875" style="2" customWidth="1"/>
    <col min="8217" max="8217" width="5.6640625" style="2" customWidth="1"/>
    <col min="8218" max="8218" width="6.6640625" style="2" customWidth="1"/>
    <col min="8219" max="8219" width="9.6640625" style="2" customWidth="1"/>
    <col min="8220" max="8220" width="4.6640625" style="2" customWidth="1"/>
    <col min="8221" max="8221" width="12.6640625" style="2" customWidth="1"/>
    <col min="8222" max="8222" width="15.6640625" style="2" customWidth="1"/>
    <col min="8223" max="8223" width="5.6640625" style="2" customWidth="1"/>
    <col min="8224" max="8224" width="6.6640625" style="2" customWidth="1"/>
    <col min="8225" max="8225" width="19.6640625" style="2" customWidth="1"/>
    <col min="8226" max="8226" width="24.6640625" style="2" customWidth="1"/>
    <col min="8227" max="8227" width="23.6640625" style="2" customWidth="1"/>
    <col min="8228" max="8228" width="4.6640625" style="2" customWidth="1"/>
    <col min="8229" max="8229" width="6.6640625" style="2" customWidth="1"/>
    <col min="8230" max="8230" width="19.6640625" style="2" customWidth="1"/>
    <col min="8231" max="8231" width="24.6640625" style="2" customWidth="1"/>
    <col min="8232" max="8232" width="23.6640625" style="2" customWidth="1"/>
    <col min="8233" max="8256" width="11.44140625" style="2" customWidth="1"/>
    <col min="8257" max="8257" width="24.6640625" style="2" customWidth="1"/>
    <col min="8258" max="8258" width="23.6640625" style="2" customWidth="1"/>
    <col min="8259" max="8460" width="11.5546875" style="2"/>
    <col min="8461" max="8461" width="53.6640625" style="2" customWidth="1"/>
    <col min="8462" max="8471" width="6.6640625" style="2" customWidth="1"/>
    <col min="8472" max="8472" width="7.5546875" style="2" customWidth="1"/>
    <col min="8473" max="8473" width="5.6640625" style="2" customWidth="1"/>
    <col min="8474" max="8474" width="6.6640625" style="2" customWidth="1"/>
    <col min="8475" max="8475" width="9.6640625" style="2" customWidth="1"/>
    <col min="8476" max="8476" width="4.6640625" style="2" customWidth="1"/>
    <col min="8477" max="8477" width="12.6640625" style="2" customWidth="1"/>
    <col min="8478" max="8478" width="15.6640625" style="2" customWidth="1"/>
    <col min="8479" max="8479" width="5.6640625" style="2" customWidth="1"/>
    <col min="8480" max="8480" width="6.6640625" style="2" customWidth="1"/>
    <col min="8481" max="8481" width="19.6640625" style="2" customWidth="1"/>
    <col min="8482" max="8482" width="24.6640625" style="2" customWidth="1"/>
    <col min="8483" max="8483" width="23.6640625" style="2" customWidth="1"/>
    <col min="8484" max="8484" width="4.6640625" style="2" customWidth="1"/>
    <col min="8485" max="8485" width="6.6640625" style="2" customWidth="1"/>
    <col min="8486" max="8486" width="19.6640625" style="2" customWidth="1"/>
    <col min="8487" max="8487" width="24.6640625" style="2" customWidth="1"/>
    <col min="8488" max="8488" width="23.6640625" style="2" customWidth="1"/>
    <col min="8489" max="8512" width="11.44140625" style="2" customWidth="1"/>
    <col min="8513" max="8513" width="24.6640625" style="2" customWidth="1"/>
    <col min="8514" max="8514" width="23.6640625" style="2" customWidth="1"/>
    <col min="8515" max="8716" width="11.5546875" style="2"/>
    <col min="8717" max="8717" width="53.6640625" style="2" customWidth="1"/>
    <col min="8718" max="8727" width="6.6640625" style="2" customWidth="1"/>
    <col min="8728" max="8728" width="7.5546875" style="2" customWidth="1"/>
    <col min="8729" max="8729" width="5.6640625" style="2" customWidth="1"/>
    <col min="8730" max="8730" width="6.6640625" style="2" customWidth="1"/>
    <col min="8731" max="8731" width="9.6640625" style="2" customWidth="1"/>
    <col min="8732" max="8732" width="4.6640625" style="2" customWidth="1"/>
    <col min="8733" max="8733" width="12.6640625" style="2" customWidth="1"/>
    <col min="8734" max="8734" width="15.6640625" style="2" customWidth="1"/>
    <col min="8735" max="8735" width="5.6640625" style="2" customWidth="1"/>
    <col min="8736" max="8736" width="6.6640625" style="2" customWidth="1"/>
    <col min="8737" max="8737" width="19.6640625" style="2" customWidth="1"/>
    <col min="8738" max="8738" width="24.6640625" style="2" customWidth="1"/>
    <col min="8739" max="8739" width="23.6640625" style="2" customWidth="1"/>
    <col min="8740" max="8740" width="4.6640625" style="2" customWidth="1"/>
    <col min="8741" max="8741" width="6.6640625" style="2" customWidth="1"/>
    <col min="8742" max="8742" width="19.6640625" style="2" customWidth="1"/>
    <col min="8743" max="8743" width="24.6640625" style="2" customWidth="1"/>
    <col min="8744" max="8744" width="23.6640625" style="2" customWidth="1"/>
    <col min="8745" max="8768" width="11.44140625" style="2" customWidth="1"/>
    <col min="8769" max="8769" width="24.6640625" style="2" customWidth="1"/>
    <col min="8770" max="8770" width="23.6640625" style="2" customWidth="1"/>
    <col min="8771" max="8972" width="11.5546875" style="2"/>
    <col min="8973" max="8973" width="53.6640625" style="2" customWidth="1"/>
    <col min="8974" max="8983" width="6.6640625" style="2" customWidth="1"/>
    <col min="8984" max="8984" width="7.5546875" style="2" customWidth="1"/>
    <col min="8985" max="8985" width="5.6640625" style="2" customWidth="1"/>
    <col min="8986" max="8986" width="6.6640625" style="2" customWidth="1"/>
    <col min="8987" max="8987" width="9.6640625" style="2" customWidth="1"/>
    <col min="8988" max="8988" width="4.6640625" style="2" customWidth="1"/>
    <col min="8989" max="8989" width="12.6640625" style="2" customWidth="1"/>
    <col min="8990" max="8990" width="15.6640625" style="2" customWidth="1"/>
    <col min="8991" max="8991" width="5.6640625" style="2" customWidth="1"/>
    <col min="8992" max="8992" width="6.6640625" style="2" customWidth="1"/>
    <col min="8993" max="8993" width="19.6640625" style="2" customWidth="1"/>
    <col min="8994" max="8994" width="24.6640625" style="2" customWidth="1"/>
    <col min="8995" max="8995" width="23.6640625" style="2" customWidth="1"/>
    <col min="8996" max="8996" width="4.6640625" style="2" customWidth="1"/>
    <col min="8997" max="8997" width="6.6640625" style="2" customWidth="1"/>
    <col min="8998" max="8998" width="19.6640625" style="2" customWidth="1"/>
    <col min="8999" max="8999" width="24.6640625" style="2" customWidth="1"/>
    <col min="9000" max="9000" width="23.6640625" style="2" customWidth="1"/>
    <col min="9001" max="9024" width="11.44140625" style="2" customWidth="1"/>
    <col min="9025" max="9025" width="24.6640625" style="2" customWidth="1"/>
    <col min="9026" max="9026" width="23.6640625" style="2" customWidth="1"/>
    <col min="9027" max="9228" width="11.5546875" style="2"/>
    <col min="9229" max="9229" width="53.6640625" style="2" customWidth="1"/>
    <col min="9230" max="9239" width="6.6640625" style="2" customWidth="1"/>
    <col min="9240" max="9240" width="7.5546875" style="2" customWidth="1"/>
    <col min="9241" max="9241" width="5.6640625" style="2" customWidth="1"/>
    <col min="9242" max="9242" width="6.6640625" style="2" customWidth="1"/>
    <col min="9243" max="9243" width="9.6640625" style="2" customWidth="1"/>
    <col min="9244" max="9244" width="4.6640625" style="2" customWidth="1"/>
    <col min="9245" max="9245" width="12.6640625" style="2" customWidth="1"/>
    <col min="9246" max="9246" width="15.6640625" style="2" customWidth="1"/>
    <col min="9247" max="9247" width="5.6640625" style="2" customWidth="1"/>
    <col min="9248" max="9248" width="6.6640625" style="2" customWidth="1"/>
    <col min="9249" max="9249" width="19.6640625" style="2" customWidth="1"/>
    <col min="9250" max="9250" width="24.6640625" style="2" customWidth="1"/>
    <col min="9251" max="9251" width="23.6640625" style="2" customWidth="1"/>
    <col min="9252" max="9252" width="4.6640625" style="2" customWidth="1"/>
    <col min="9253" max="9253" width="6.6640625" style="2" customWidth="1"/>
    <col min="9254" max="9254" width="19.6640625" style="2" customWidth="1"/>
    <col min="9255" max="9255" width="24.6640625" style="2" customWidth="1"/>
    <col min="9256" max="9256" width="23.6640625" style="2" customWidth="1"/>
    <col min="9257" max="9280" width="11.44140625" style="2" customWidth="1"/>
    <col min="9281" max="9281" width="24.6640625" style="2" customWidth="1"/>
    <col min="9282" max="9282" width="23.6640625" style="2" customWidth="1"/>
    <col min="9283" max="9484" width="11.5546875" style="2"/>
    <col min="9485" max="9485" width="53.6640625" style="2" customWidth="1"/>
    <col min="9486" max="9495" width="6.6640625" style="2" customWidth="1"/>
    <col min="9496" max="9496" width="7.5546875" style="2" customWidth="1"/>
    <col min="9497" max="9497" width="5.6640625" style="2" customWidth="1"/>
    <col min="9498" max="9498" width="6.6640625" style="2" customWidth="1"/>
    <col min="9499" max="9499" width="9.6640625" style="2" customWidth="1"/>
    <col min="9500" max="9500" width="4.6640625" style="2" customWidth="1"/>
    <col min="9501" max="9501" width="12.6640625" style="2" customWidth="1"/>
    <col min="9502" max="9502" width="15.6640625" style="2" customWidth="1"/>
    <col min="9503" max="9503" width="5.6640625" style="2" customWidth="1"/>
    <col min="9504" max="9504" width="6.6640625" style="2" customWidth="1"/>
    <col min="9505" max="9505" width="19.6640625" style="2" customWidth="1"/>
    <col min="9506" max="9506" width="24.6640625" style="2" customWidth="1"/>
    <col min="9507" max="9507" width="23.6640625" style="2" customWidth="1"/>
    <col min="9508" max="9508" width="4.6640625" style="2" customWidth="1"/>
    <col min="9509" max="9509" width="6.6640625" style="2" customWidth="1"/>
    <col min="9510" max="9510" width="19.6640625" style="2" customWidth="1"/>
    <col min="9511" max="9511" width="24.6640625" style="2" customWidth="1"/>
    <col min="9512" max="9512" width="23.6640625" style="2" customWidth="1"/>
    <col min="9513" max="9536" width="11.44140625" style="2" customWidth="1"/>
    <col min="9537" max="9537" width="24.6640625" style="2" customWidth="1"/>
    <col min="9538" max="9538" width="23.6640625" style="2" customWidth="1"/>
    <col min="9539" max="9740" width="11.5546875" style="2"/>
    <col min="9741" max="9741" width="53.6640625" style="2" customWidth="1"/>
    <col min="9742" max="9751" width="6.6640625" style="2" customWidth="1"/>
    <col min="9752" max="9752" width="7.5546875" style="2" customWidth="1"/>
    <col min="9753" max="9753" width="5.6640625" style="2" customWidth="1"/>
    <col min="9754" max="9754" width="6.6640625" style="2" customWidth="1"/>
    <col min="9755" max="9755" width="9.6640625" style="2" customWidth="1"/>
    <col min="9756" max="9756" width="4.6640625" style="2" customWidth="1"/>
    <col min="9757" max="9757" width="12.6640625" style="2" customWidth="1"/>
    <col min="9758" max="9758" width="15.6640625" style="2" customWidth="1"/>
    <col min="9759" max="9759" width="5.6640625" style="2" customWidth="1"/>
    <col min="9760" max="9760" width="6.6640625" style="2" customWidth="1"/>
    <col min="9761" max="9761" width="19.6640625" style="2" customWidth="1"/>
    <col min="9762" max="9762" width="24.6640625" style="2" customWidth="1"/>
    <col min="9763" max="9763" width="23.6640625" style="2" customWidth="1"/>
    <col min="9764" max="9764" width="4.6640625" style="2" customWidth="1"/>
    <col min="9765" max="9765" width="6.6640625" style="2" customWidth="1"/>
    <col min="9766" max="9766" width="19.6640625" style="2" customWidth="1"/>
    <col min="9767" max="9767" width="24.6640625" style="2" customWidth="1"/>
    <col min="9768" max="9768" width="23.6640625" style="2" customWidth="1"/>
    <col min="9769" max="9792" width="11.44140625" style="2" customWidth="1"/>
    <col min="9793" max="9793" width="24.6640625" style="2" customWidth="1"/>
    <col min="9794" max="9794" width="23.6640625" style="2" customWidth="1"/>
    <col min="9795" max="9996" width="11.5546875" style="2"/>
    <col min="9997" max="9997" width="53.6640625" style="2" customWidth="1"/>
    <col min="9998" max="10007" width="6.6640625" style="2" customWidth="1"/>
    <col min="10008" max="10008" width="7.5546875" style="2" customWidth="1"/>
    <col min="10009" max="10009" width="5.6640625" style="2" customWidth="1"/>
    <col min="10010" max="10010" width="6.6640625" style="2" customWidth="1"/>
    <col min="10011" max="10011" width="9.6640625" style="2" customWidth="1"/>
    <col min="10012" max="10012" width="4.6640625" style="2" customWidth="1"/>
    <col min="10013" max="10013" width="12.6640625" style="2" customWidth="1"/>
    <col min="10014" max="10014" width="15.6640625" style="2" customWidth="1"/>
    <col min="10015" max="10015" width="5.6640625" style="2" customWidth="1"/>
    <col min="10016" max="10016" width="6.6640625" style="2" customWidth="1"/>
    <col min="10017" max="10017" width="19.6640625" style="2" customWidth="1"/>
    <col min="10018" max="10018" width="24.6640625" style="2" customWidth="1"/>
    <col min="10019" max="10019" width="23.6640625" style="2" customWidth="1"/>
    <col min="10020" max="10020" width="4.6640625" style="2" customWidth="1"/>
    <col min="10021" max="10021" width="6.6640625" style="2" customWidth="1"/>
    <col min="10022" max="10022" width="19.6640625" style="2" customWidth="1"/>
    <col min="10023" max="10023" width="24.6640625" style="2" customWidth="1"/>
    <col min="10024" max="10024" width="23.6640625" style="2" customWidth="1"/>
    <col min="10025" max="10048" width="11.44140625" style="2" customWidth="1"/>
    <col min="10049" max="10049" width="24.6640625" style="2" customWidth="1"/>
    <col min="10050" max="10050" width="23.6640625" style="2" customWidth="1"/>
    <col min="10051" max="10252" width="11.5546875" style="2"/>
    <col min="10253" max="10253" width="53.6640625" style="2" customWidth="1"/>
    <col min="10254" max="10263" width="6.6640625" style="2" customWidth="1"/>
    <col min="10264" max="10264" width="7.5546875" style="2" customWidth="1"/>
    <col min="10265" max="10265" width="5.6640625" style="2" customWidth="1"/>
    <col min="10266" max="10266" width="6.6640625" style="2" customWidth="1"/>
    <col min="10267" max="10267" width="9.6640625" style="2" customWidth="1"/>
    <col min="10268" max="10268" width="4.6640625" style="2" customWidth="1"/>
    <col min="10269" max="10269" width="12.6640625" style="2" customWidth="1"/>
    <col min="10270" max="10270" width="15.6640625" style="2" customWidth="1"/>
    <col min="10271" max="10271" width="5.6640625" style="2" customWidth="1"/>
    <col min="10272" max="10272" width="6.6640625" style="2" customWidth="1"/>
    <col min="10273" max="10273" width="19.6640625" style="2" customWidth="1"/>
    <col min="10274" max="10274" width="24.6640625" style="2" customWidth="1"/>
    <col min="10275" max="10275" width="23.6640625" style="2" customWidth="1"/>
    <col min="10276" max="10276" width="4.6640625" style="2" customWidth="1"/>
    <col min="10277" max="10277" width="6.6640625" style="2" customWidth="1"/>
    <col min="10278" max="10278" width="19.6640625" style="2" customWidth="1"/>
    <col min="10279" max="10279" width="24.6640625" style="2" customWidth="1"/>
    <col min="10280" max="10280" width="23.6640625" style="2" customWidth="1"/>
    <col min="10281" max="10304" width="11.44140625" style="2" customWidth="1"/>
    <col min="10305" max="10305" width="24.6640625" style="2" customWidth="1"/>
    <col min="10306" max="10306" width="23.6640625" style="2" customWidth="1"/>
    <col min="10307" max="10508" width="11.5546875" style="2"/>
    <col min="10509" max="10509" width="53.6640625" style="2" customWidth="1"/>
    <col min="10510" max="10519" width="6.6640625" style="2" customWidth="1"/>
    <col min="10520" max="10520" width="7.5546875" style="2" customWidth="1"/>
    <col min="10521" max="10521" width="5.6640625" style="2" customWidth="1"/>
    <col min="10522" max="10522" width="6.6640625" style="2" customWidth="1"/>
    <col min="10523" max="10523" width="9.6640625" style="2" customWidth="1"/>
    <col min="10524" max="10524" width="4.6640625" style="2" customWidth="1"/>
    <col min="10525" max="10525" width="12.6640625" style="2" customWidth="1"/>
    <col min="10526" max="10526" width="15.6640625" style="2" customWidth="1"/>
    <col min="10527" max="10527" width="5.6640625" style="2" customWidth="1"/>
    <col min="10528" max="10528" width="6.6640625" style="2" customWidth="1"/>
    <col min="10529" max="10529" width="19.6640625" style="2" customWidth="1"/>
    <col min="10530" max="10530" width="24.6640625" style="2" customWidth="1"/>
    <col min="10531" max="10531" width="23.6640625" style="2" customWidth="1"/>
    <col min="10532" max="10532" width="4.6640625" style="2" customWidth="1"/>
    <col min="10533" max="10533" width="6.6640625" style="2" customWidth="1"/>
    <col min="10534" max="10534" width="19.6640625" style="2" customWidth="1"/>
    <col min="10535" max="10535" width="24.6640625" style="2" customWidth="1"/>
    <col min="10536" max="10536" width="23.6640625" style="2" customWidth="1"/>
    <col min="10537" max="10560" width="11.44140625" style="2" customWidth="1"/>
    <col min="10561" max="10561" width="24.6640625" style="2" customWidth="1"/>
    <col min="10562" max="10562" width="23.6640625" style="2" customWidth="1"/>
    <col min="10563" max="10764" width="11.5546875" style="2"/>
    <col min="10765" max="10765" width="53.6640625" style="2" customWidth="1"/>
    <col min="10766" max="10775" width="6.6640625" style="2" customWidth="1"/>
    <col min="10776" max="10776" width="7.5546875" style="2" customWidth="1"/>
    <col min="10777" max="10777" width="5.6640625" style="2" customWidth="1"/>
    <col min="10778" max="10778" width="6.6640625" style="2" customWidth="1"/>
    <col min="10779" max="10779" width="9.6640625" style="2" customWidth="1"/>
    <col min="10780" max="10780" width="4.6640625" style="2" customWidth="1"/>
    <col min="10781" max="10781" width="12.6640625" style="2" customWidth="1"/>
    <col min="10782" max="10782" width="15.6640625" style="2" customWidth="1"/>
    <col min="10783" max="10783" width="5.6640625" style="2" customWidth="1"/>
    <col min="10784" max="10784" width="6.6640625" style="2" customWidth="1"/>
    <col min="10785" max="10785" width="19.6640625" style="2" customWidth="1"/>
    <col min="10786" max="10786" width="24.6640625" style="2" customWidth="1"/>
    <col min="10787" max="10787" width="23.6640625" style="2" customWidth="1"/>
    <col min="10788" max="10788" width="4.6640625" style="2" customWidth="1"/>
    <col min="10789" max="10789" width="6.6640625" style="2" customWidth="1"/>
    <col min="10790" max="10790" width="19.6640625" style="2" customWidth="1"/>
    <col min="10791" max="10791" width="24.6640625" style="2" customWidth="1"/>
    <col min="10792" max="10792" width="23.6640625" style="2" customWidth="1"/>
    <col min="10793" max="10816" width="11.44140625" style="2" customWidth="1"/>
    <col min="10817" max="10817" width="24.6640625" style="2" customWidth="1"/>
    <col min="10818" max="10818" width="23.6640625" style="2" customWidth="1"/>
    <col min="10819" max="11020" width="11.5546875" style="2"/>
    <col min="11021" max="11021" width="53.6640625" style="2" customWidth="1"/>
    <col min="11022" max="11031" width="6.6640625" style="2" customWidth="1"/>
    <col min="11032" max="11032" width="7.5546875" style="2" customWidth="1"/>
    <col min="11033" max="11033" width="5.6640625" style="2" customWidth="1"/>
    <col min="11034" max="11034" width="6.6640625" style="2" customWidth="1"/>
    <col min="11035" max="11035" width="9.6640625" style="2" customWidth="1"/>
    <col min="11036" max="11036" width="4.6640625" style="2" customWidth="1"/>
    <col min="11037" max="11037" width="12.6640625" style="2" customWidth="1"/>
    <col min="11038" max="11038" width="15.6640625" style="2" customWidth="1"/>
    <col min="11039" max="11039" width="5.6640625" style="2" customWidth="1"/>
    <col min="11040" max="11040" width="6.6640625" style="2" customWidth="1"/>
    <col min="11041" max="11041" width="19.6640625" style="2" customWidth="1"/>
    <col min="11042" max="11042" width="24.6640625" style="2" customWidth="1"/>
    <col min="11043" max="11043" width="23.6640625" style="2" customWidth="1"/>
    <col min="11044" max="11044" width="4.6640625" style="2" customWidth="1"/>
    <col min="11045" max="11045" width="6.6640625" style="2" customWidth="1"/>
    <col min="11046" max="11046" width="19.6640625" style="2" customWidth="1"/>
    <col min="11047" max="11047" width="24.6640625" style="2" customWidth="1"/>
    <col min="11048" max="11048" width="23.6640625" style="2" customWidth="1"/>
    <col min="11049" max="11072" width="11.44140625" style="2" customWidth="1"/>
    <col min="11073" max="11073" width="24.6640625" style="2" customWidth="1"/>
    <col min="11074" max="11074" width="23.6640625" style="2" customWidth="1"/>
    <col min="11075" max="11276" width="11.5546875" style="2"/>
    <col min="11277" max="11277" width="53.6640625" style="2" customWidth="1"/>
    <col min="11278" max="11287" width="6.6640625" style="2" customWidth="1"/>
    <col min="11288" max="11288" width="7.5546875" style="2" customWidth="1"/>
    <col min="11289" max="11289" width="5.6640625" style="2" customWidth="1"/>
    <col min="11290" max="11290" width="6.6640625" style="2" customWidth="1"/>
    <col min="11291" max="11291" width="9.6640625" style="2" customWidth="1"/>
    <col min="11292" max="11292" width="4.6640625" style="2" customWidth="1"/>
    <col min="11293" max="11293" width="12.6640625" style="2" customWidth="1"/>
    <col min="11294" max="11294" width="15.6640625" style="2" customWidth="1"/>
    <col min="11295" max="11295" width="5.6640625" style="2" customWidth="1"/>
    <col min="11296" max="11296" width="6.6640625" style="2" customWidth="1"/>
    <col min="11297" max="11297" width="19.6640625" style="2" customWidth="1"/>
    <col min="11298" max="11298" width="24.6640625" style="2" customWidth="1"/>
    <col min="11299" max="11299" width="23.6640625" style="2" customWidth="1"/>
    <col min="11300" max="11300" width="4.6640625" style="2" customWidth="1"/>
    <col min="11301" max="11301" width="6.6640625" style="2" customWidth="1"/>
    <col min="11302" max="11302" width="19.6640625" style="2" customWidth="1"/>
    <col min="11303" max="11303" width="24.6640625" style="2" customWidth="1"/>
    <col min="11304" max="11304" width="23.6640625" style="2" customWidth="1"/>
    <col min="11305" max="11328" width="11.44140625" style="2" customWidth="1"/>
    <col min="11329" max="11329" width="24.6640625" style="2" customWidth="1"/>
    <col min="11330" max="11330" width="23.6640625" style="2" customWidth="1"/>
    <col min="11331" max="11532" width="11.5546875" style="2"/>
    <col min="11533" max="11533" width="53.6640625" style="2" customWidth="1"/>
    <col min="11534" max="11543" width="6.6640625" style="2" customWidth="1"/>
    <col min="11544" max="11544" width="7.5546875" style="2" customWidth="1"/>
    <col min="11545" max="11545" width="5.6640625" style="2" customWidth="1"/>
    <col min="11546" max="11546" width="6.6640625" style="2" customWidth="1"/>
    <col min="11547" max="11547" width="9.6640625" style="2" customWidth="1"/>
    <col min="11548" max="11548" width="4.6640625" style="2" customWidth="1"/>
    <col min="11549" max="11549" width="12.6640625" style="2" customWidth="1"/>
    <col min="11550" max="11550" width="15.6640625" style="2" customWidth="1"/>
    <col min="11551" max="11551" width="5.6640625" style="2" customWidth="1"/>
    <col min="11552" max="11552" width="6.6640625" style="2" customWidth="1"/>
    <col min="11553" max="11553" width="19.6640625" style="2" customWidth="1"/>
    <col min="11554" max="11554" width="24.6640625" style="2" customWidth="1"/>
    <col min="11555" max="11555" width="23.6640625" style="2" customWidth="1"/>
    <col min="11556" max="11556" width="4.6640625" style="2" customWidth="1"/>
    <col min="11557" max="11557" width="6.6640625" style="2" customWidth="1"/>
    <col min="11558" max="11558" width="19.6640625" style="2" customWidth="1"/>
    <col min="11559" max="11559" width="24.6640625" style="2" customWidth="1"/>
    <col min="11560" max="11560" width="23.6640625" style="2" customWidth="1"/>
    <col min="11561" max="11584" width="11.44140625" style="2" customWidth="1"/>
    <col min="11585" max="11585" width="24.6640625" style="2" customWidth="1"/>
    <col min="11586" max="11586" width="23.6640625" style="2" customWidth="1"/>
    <col min="11587" max="11788" width="11.5546875" style="2"/>
    <col min="11789" max="11789" width="53.6640625" style="2" customWidth="1"/>
    <col min="11790" max="11799" width="6.6640625" style="2" customWidth="1"/>
    <col min="11800" max="11800" width="7.5546875" style="2" customWidth="1"/>
    <col min="11801" max="11801" width="5.6640625" style="2" customWidth="1"/>
    <col min="11802" max="11802" width="6.6640625" style="2" customWidth="1"/>
    <col min="11803" max="11803" width="9.6640625" style="2" customWidth="1"/>
    <col min="11804" max="11804" width="4.6640625" style="2" customWidth="1"/>
    <col min="11805" max="11805" width="12.6640625" style="2" customWidth="1"/>
    <col min="11806" max="11806" width="15.6640625" style="2" customWidth="1"/>
    <col min="11807" max="11807" width="5.6640625" style="2" customWidth="1"/>
    <col min="11808" max="11808" width="6.6640625" style="2" customWidth="1"/>
    <col min="11809" max="11809" width="19.6640625" style="2" customWidth="1"/>
    <col min="11810" max="11810" width="24.6640625" style="2" customWidth="1"/>
    <col min="11811" max="11811" width="23.6640625" style="2" customWidth="1"/>
    <col min="11812" max="11812" width="4.6640625" style="2" customWidth="1"/>
    <col min="11813" max="11813" width="6.6640625" style="2" customWidth="1"/>
    <col min="11814" max="11814" width="19.6640625" style="2" customWidth="1"/>
    <col min="11815" max="11815" width="24.6640625" style="2" customWidth="1"/>
    <col min="11816" max="11816" width="23.6640625" style="2" customWidth="1"/>
    <col min="11817" max="11840" width="11.44140625" style="2" customWidth="1"/>
    <col min="11841" max="11841" width="24.6640625" style="2" customWidth="1"/>
    <col min="11842" max="11842" width="23.6640625" style="2" customWidth="1"/>
    <col min="11843" max="12044" width="11.5546875" style="2"/>
    <col min="12045" max="12045" width="53.6640625" style="2" customWidth="1"/>
    <col min="12046" max="12055" width="6.6640625" style="2" customWidth="1"/>
    <col min="12056" max="12056" width="7.5546875" style="2" customWidth="1"/>
    <col min="12057" max="12057" width="5.6640625" style="2" customWidth="1"/>
    <col min="12058" max="12058" width="6.6640625" style="2" customWidth="1"/>
    <col min="12059" max="12059" width="9.6640625" style="2" customWidth="1"/>
    <col min="12060" max="12060" width="4.6640625" style="2" customWidth="1"/>
    <col min="12061" max="12061" width="12.6640625" style="2" customWidth="1"/>
    <col min="12062" max="12062" width="15.6640625" style="2" customWidth="1"/>
    <col min="12063" max="12063" width="5.6640625" style="2" customWidth="1"/>
    <col min="12064" max="12064" width="6.6640625" style="2" customWidth="1"/>
    <col min="12065" max="12065" width="19.6640625" style="2" customWidth="1"/>
    <col min="12066" max="12066" width="24.6640625" style="2" customWidth="1"/>
    <col min="12067" max="12067" width="23.6640625" style="2" customWidth="1"/>
    <col min="12068" max="12068" width="4.6640625" style="2" customWidth="1"/>
    <col min="12069" max="12069" width="6.6640625" style="2" customWidth="1"/>
    <col min="12070" max="12070" width="19.6640625" style="2" customWidth="1"/>
    <col min="12071" max="12071" width="24.6640625" style="2" customWidth="1"/>
    <col min="12072" max="12072" width="23.6640625" style="2" customWidth="1"/>
    <col min="12073" max="12096" width="11.44140625" style="2" customWidth="1"/>
    <col min="12097" max="12097" width="24.6640625" style="2" customWidth="1"/>
    <col min="12098" max="12098" width="23.6640625" style="2" customWidth="1"/>
    <col min="12099" max="12300" width="11.5546875" style="2"/>
    <col min="12301" max="12301" width="53.6640625" style="2" customWidth="1"/>
    <col min="12302" max="12311" width="6.6640625" style="2" customWidth="1"/>
    <col min="12312" max="12312" width="7.5546875" style="2" customWidth="1"/>
    <col min="12313" max="12313" width="5.6640625" style="2" customWidth="1"/>
    <col min="12314" max="12314" width="6.6640625" style="2" customWidth="1"/>
    <col min="12315" max="12315" width="9.6640625" style="2" customWidth="1"/>
    <col min="12316" max="12316" width="4.6640625" style="2" customWidth="1"/>
    <col min="12317" max="12317" width="12.6640625" style="2" customWidth="1"/>
    <col min="12318" max="12318" width="15.6640625" style="2" customWidth="1"/>
    <col min="12319" max="12319" width="5.6640625" style="2" customWidth="1"/>
    <col min="12320" max="12320" width="6.6640625" style="2" customWidth="1"/>
    <col min="12321" max="12321" width="19.6640625" style="2" customWidth="1"/>
    <col min="12322" max="12322" width="24.6640625" style="2" customWidth="1"/>
    <col min="12323" max="12323" width="23.6640625" style="2" customWidth="1"/>
    <col min="12324" max="12324" width="4.6640625" style="2" customWidth="1"/>
    <col min="12325" max="12325" width="6.6640625" style="2" customWidth="1"/>
    <col min="12326" max="12326" width="19.6640625" style="2" customWidth="1"/>
    <col min="12327" max="12327" width="24.6640625" style="2" customWidth="1"/>
    <col min="12328" max="12328" width="23.6640625" style="2" customWidth="1"/>
    <col min="12329" max="12352" width="11.44140625" style="2" customWidth="1"/>
    <col min="12353" max="12353" width="24.6640625" style="2" customWidth="1"/>
    <col min="12354" max="12354" width="23.6640625" style="2" customWidth="1"/>
    <col min="12355" max="12556" width="11.5546875" style="2"/>
    <col min="12557" max="12557" width="53.6640625" style="2" customWidth="1"/>
    <col min="12558" max="12567" width="6.6640625" style="2" customWidth="1"/>
    <col min="12568" max="12568" width="7.5546875" style="2" customWidth="1"/>
    <col min="12569" max="12569" width="5.6640625" style="2" customWidth="1"/>
    <col min="12570" max="12570" width="6.6640625" style="2" customWidth="1"/>
    <col min="12571" max="12571" width="9.6640625" style="2" customWidth="1"/>
    <col min="12572" max="12572" width="4.6640625" style="2" customWidth="1"/>
    <col min="12573" max="12573" width="12.6640625" style="2" customWidth="1"/>
    <col min="12574" max="12574" width="15.6640625" style="2" customWidth="1"/>
    <col min="12575" max="12575" width="5.6640625" style="2" customWidth="1"/>
    <col min="12576" max="12576" width="6.6640625" style="2" customWidth="1"/>
    <col min="12577" max="12577" width="19.6640625" style="2" customWidth="1"/>
    <col min="12578" max="12578" width="24.6640625" style="2" customWidth="1"/>
    <col min="12579" max="12579" width="23.6640625" style="2" customWidth="1"/>
    <col min="12580" max="12580" width="4.6640625" style="2" customWidth="1"/>
    <col min="12581" max="12581" width="6.6640625" style="2" customWidth="1"/>
    <col min="12582" max="12582" width="19.6640625" style="2" customWidth="1"/>
    <col min="12583" max="12583" width="24.6640625" style="2" customWidth="1"/>
    <col min="12584" max="12584" width="23.6640625" style="2" customWidth="1"/>
    <col min="12585" max="12608" width="11.44140625" style="2" customWidth="1"/>
    <col min="12609" max="12609" width="24.6640625" style="2" customWidth="1"/>
    <col min="12610" max="12610" width="23.6640625" style="2" customWidth="1"/>
    <col min="12611" max="12812" width="11.5546875" style="2"/>
    <col min="12813" max="12813" width="53.6640625" style="2" customWidth="1"/>
    <col min="12814" max="12823" width="6.6640625" style="2" customWidth="1"/>
    <col min="12824" max="12824" width="7.5546875" style="2" customWidth="1"/>
    <col min="12825" max="12825" width="5.6640625" style="2" customWidth="1"/>
    <col min="12826" max="12826" width="6.6640625" style="2" customWidth="1"/>
    <col min="12827" max="12827" width="9.6640625" style="2" customWidth="1"/>
    <col min="12828" max="12828" width="4.6640625" style="2" customWidth="1"/>
    <col min="12829" max="12829" width="12.6640625" style="2" customWidth="1"/>
    <col min="12830" max="12830" width="15.6640625" style="2" customWidth="1"/>
    <col min="12831" max="12831" width="5.6640625" style="2" customWidth="1"/>
    <col min="12832" max="12832" width="6.6640625" style="2" customWidth="1"/>
    <col min="12833" max="12833" width="19.6640625" style="2" customWidth="1"/>
    <col min="12834" max="12834" width="24.6640625" style="2" customWidth="1"/>
    <col min="12835" max="12835" width="23.6640625" style="2" customWidth="1"/>
    <col min="12836" max="12836" width="4.6640625" style="2" customWidth="1"/>
    <col min="12837" max="12837" width="6.6640625" style="2" customWidth="1"/>
    <col min="12838" max="12838" width="19.6640625" style="2" customWidth="1"/>
    <col min="12839" max="12839" width="24.6640625" style="2" customWidth="1"/>
    <col min="12840" max="12840" width="23.6640625" style="2" customWidth="1"/>
    <col min="12841" max="12864" width="11.44140625" style="2" customWidth="1"/>
    <col min="12865" max="12865" width="24.6640625" style="2" customWidth="1"/>
    <col min="12866" max="12866" width="23.6640625" style="2" customWidth="1"/>
    <col min="12867" max="13068" width="11.5546875" style="2"/>
    <col min="13069" max="13069" width="53.6640625" style="2" customWidth="1"/>
    <col min="13070" max="13079" width="6.6640625" style="2" customWidth="1"/>
    <col min="13080" max="13080" width="7.5546875" style="2" customWidth="1"/>
    <col min="13081" max="13081" width="5.6640625" style="2" customWidth="1"/>
    <col min="13082" max="13082" width="6.6640625" style="2" customWidth="1"/>
    <col min="13083" max="13083" width="9.6640625" style="2" customWidth="1"/>
    <col min="13084" max="13084" width="4.6640625" style="2" customWidth="1"/>
    <col min="13085" max="13085" width="12.6640625" style="2" customWidth="1"/>
    <col min="13086" max="13086" width="15.6640625" style="2" customWidth="1"/>
    <col min="13087" max="13087" width="5.6640625" style="2" customWidth="1"/>
    <col min="13088" max="13088" width="6.6640625" style="2" customWidth="1"/>
    <col min="13089" max="13089" width="19.6640625" style="2" customWidth="1"/>
    <col min="13090" max="13090" width="24.6640625" style="2" customWidth="1"/>
    <col min="13091" max="13091" width="23.6640625" style="2" customWidth="1"/>
    <col min="13092" max="13092" width="4.6640625" style="2" customWidth="1"/>
    <col min="13093" max="13093" width="6.6640625" style="2" customWidth="1"/>
    <col min="13094" max="13094" width="19.6640625" style="2" customWidth="1"/>
    <col min="13095" max="13095" width="24.6640625" style="2" customWidth="1"/>
    <col min="13096" max="13096" width="23.6640625" style="2" customWidth="1"/>
    <col min="13097" max="13120" width="11.44140625" style="2" customWidth="1"/>
    <col min="13121" max="13121" width="24.6640625" style="2" customWidth="1"/>
    <col min="13122" max="13122" width="23.6640625" style="2" customWidth="1"/>
    <col min="13123" max="13324" width="11.5546875" style="2"/>
    <col min="13325" max="13325" width="53.6640625" style="2" customWidth="1"/>
    <col min="13326" max="13335" width="6.6640625" style="2" customWidth="1"/>
    <col min="13336" max="13336" width="7.5546875" style="2" customWidth="1"/>
    <col min="13337" max="13337" width="5.6640625" style="2" customWidth="1"/>
    <col min="13338" max="13338" width="6.6640625" style="2" customWidth="1"/>
    <col min="13339" max="13339" width="9.6640625" style="2" customWidth="1"/>
    <col min="13340" max="13340" width="4.6640625" style="2" customWidth="1"/>
    <col min="13341" max="13341" width="12.6640625" style="2" customWidth="1"/>
    <col min="13342" max="13342" width="15.6640625" style="2" customWidth="1"/>
    <col min="13343" max="13343" width="5.6640625" style="2" customWidth="1"/>
    <col min="13344" max="13344" width="6.6640625" style="2" customWidth="1"/>
    <col min="13345" max="13345" width="19.6640625" style="2" customWidth="1"/>
    <col min="13346" max="13346" width="24.6640625" style="2" customWidth="1"/>
    <col min="13347" max="13347" width="23.6640625" style="2" customWidth="1"/>
    <col min="13348" max="13348" width="4.6640625" style="2" customWidth="1"/>
    <col min="13349" max="13349" width="6.6640625" style="2" customWidth="1"/>
    <col min="13350" max="13350" width="19.6640625" style="2" customWidth="1"/>
    <col min="13351" max="13351" width="24.6640625" style="2" customWidth="1"/>
    <col min="13352" max="13352" width="23.6640625" style="2" customWidth="1"/>
    <col min="13353" max="13376" width="11.44140625" style="2" customWidth="1"/>
    <col min="13377" max="13377" width="24.6640625" style="2" customWidth="1"/>
    <col min="13378" max="13378" width="23.6640625" style="2" customWidth="1"/>
    <col min="13379" max="13580" width="11.5546875" style="2"/>
    <col min="13581" max="13581" width="53.6640625" style="2" customWidth="1"/>
    <col min="13582" max="13591" width="6.6640625" style="2" customWidth="1"/>
    <col min="13592" max="13592" width="7.5546875" style="2" customWidth="1"/>
    <col min="13593" max="13593" width="5.6640625" style="2" customWidth="1"/>
    <col min="13594" max="13594" width="6.6640625" style="2" customWidth="1"/>
    <col min="13595" max="13595" width="9.6640625" style="2" customWidth="1"/>
    <col min="13596" max="13596" width="4.6640625" style="2" customWidth="1"/>
    <col min="13597" max="13597" width="12.6640625" style="2" customWidth="1"/>
    <col min="13598" max="13598" width="15.6640625" style="2" customWidth="1"/>
    <col min="13599" max="13599" width="5.6640625" style="2" customWidth="1"/>
    <col min="13600" max="13600" width="6.6640625" style="2" customWidth="1"/>
    <col min="13601" max="13601" width="19.6640625" style="2" customWidth="1"/>
    <col min="13602" max="13602" width="24.6640625" style="2" customWidth="1"/>
    <col min="13603" max="13603" width="23.6640625" style="2" customWidth="1"/>
    <col min="13604" max="13604" width="4.6640625" style="2" customWidth="1"/>
    <col min="13605" max="13605" width="6.6640625" style="2" customWidth="1"/>
    <col min="13606" max="13606" width="19.6640625" style="2" customWidth="1"/>
    <col min="13607" max="13607" width="24.6640625" style="2" customWidth="1"/>
    <col min="13608" max="13608" width="23.6640625" style="2" customWidth="1"/>
    <col min="13609" max="13632" width="11.44140625" style="2" customWidth="1"/>
    <col min="13633" max="13633" width="24.6640625" style="2" customWidth="1"/>
    <col min="13634" max="13634" width="23.6640625" style="2" customWidth="1"/>
    <col min="13635" max="13836" width="11.5546875" style="2"/>
    <col min="13837" max="13837" width="53.6640625" style="2" customWidth="1"/>
    <col min="13838" max="13847" width="6.6640625" style="2" customWidth="1"/>
    <col min="13848" max="13848" width="7.5546875" style="2" customWidth="1"/>
    <col min="13849" max="13849" width="5.6640625" style="2" customWidth="1"/>
    <col min="13850" max="13850" width="6.6640625" style="2" customWidth="1"/>
    <col min="13851" max="13851" width="9.6640625" style="2" customWidth="1"/>
    <col min="13852" max="13852" width="4.6640625" style="2" customWidth="1"/>
    <col min="13853" max="13853" width="12.6640625" style="2" customWidth="1"/>
    <col min="13854" max="13854" width="15.6640625" style="2" customWidth="1"/>
    <col min="13855" max="13855" width="5.6640625" style="2" customWidth="1"/>
    <col min="13856" max="13856" width="6.6640625" style="2" customWidth="1"/>
    <col min="13857" max="13857" width="19.6640625" style="2" customWidth="1"/>
    <col min="13858" max="13858" width="24.6640625" style="2" customWidth="1"/>
    <col min="13859" max="13859" width="23.6640625" style="2" customWidth="1"/>
    <col min="13860" max="13860" width="4.6640625" style="2" customWidth="1"/>
    <col min="13861" max="13861" width="6.6640625" style="2" customWidth="1"/>
    <col min="13862" max="13862" width="19.6640625" style="2" customWidth="1"/>
    <col min="13863" max="13863" width="24.6640625" style="2" customWidth="1"/>
    <col min="13864" max="13864" width="23.6640625" style="2" customWidth="1"/>
    <col min="13865" max="13888" width="11.44140625" style="2" customWidth="1"/>
    <col min="13889" max="13889" width="24.6640625" style="2" customWidth="1"/>
    <col min="13890" max="13890" width="23.6640625" style="2" customWidth="1"/>
    <col min="13891" max="14092" width="11.5546875" style="2"/>
    <col min="14093" max="14093" width="53.6640625" style="2" customWidth="1"/>
    <col min="14094" max="14103" width="6.6640625" style="2" customWidth="1"/>
    <col min="14104" max="14104" width="7.5546875" style="2" customWidth="1"/>
    <col min="14105" max="14105" width="5.6640625" style="2" customWidth="1"/>
    <col min="14106" max="14106" width="6.6640625" style="2" customWidth="1"/>
    <col min="14107" max="14107" width="9.6640625" style="2" customWidth="1"/>
    <col min="14108" max="14108" width="4.6640625" style="2" customWidth="1"/>
    <col min="14109" max="14109" width="12.6640625" style="2" customWidth="1"/>
    <col min="14110" max="14110" width="15.6640625" style="2" customWidth="1"/>
    <col min="14111" max="14111" width="5.6640625" style="2" customWidth="1"/>
    <col min="14112" max="14112" width="6.6640625" style="2" customWidth="1"/>
    <col min="14113" max="14113" width="19.6640625" style="2" customWidth="1"/>
    <col min="14114" max="14114" width="24.6640625" style="2" customWidth="1"/>
    <col min="14115" max="14115" width="23.6640625" style="2" customWidth="1"/>
    <col min="14116" max="14116" width="4.6640625" style="2" customWidth="1"/>
    <col min="14117" max="14117" width="6.6640625" style="2" customWidth="1"/>
    <col min="14118" max="14118" width="19.6640625" style="2" customWidth="1"/>
    <col min="14119" max="14119" width="24.6640625" style="2" customWidth="1"/>
    <col min="14120" max="14120" width="23.6640625" style="2" customWidth="1"/>
    <col min="14121" max="14144" width="11.44140625" style="2" customWidth="1"/>
    <col min="14145" max="14145" width="24.6640625" style="2" customWidth="1"/>
    <col min="14146" max="14146" width="23.6640625" style="2" customWidth="1"/>
    <col min="14147" max="14348" width="11.5546875" style="2"/>
    <col min="14349" max="14349" width="53.6640625" style="2" customWidth="1"/>
    <col min="14350" max="14359" width="6.6640625" style="2" customWidth="1"/>
    <col min="14360" max="14360" width="7.5546875" style="2" customWidth="1"/>
    <col min="14361" max="14361" width="5.6640625" style="2" customWidth="1"/>
    <col min="14362" max="14362" width="6.6640625" style="2" customWidth="1"/>
    <col min="14363" max="14363" width="9.6640625" style="2" customWidth="1"/>
    <col min="14364" max="14364" width="4.6640625" style="2" customWidth="1"/>
    <col min="14365" max="14365" width="12.6640625" style="2" customWidth="1"/>
    <col min="14366" max="14366" width="15.6640625" style="2" customWidth="1"/>
    <col min="14367" max="14367" width="5.6640625" style="2" customWidth="1"/>
    <col min="14368" max="14368" width="6.6640625" style="2" customWidth="1"/>
    <col min="14369" max="14369" width="19.6640625" style="2" customWidth="1"/>
    <col min="14370" max="14370" width="24.6640625" style="2" customWidth="1"/>
    <col min="14371" max="14371" width="23.6640625" style="2" customWidth="1"/>
    <col min="14372" max="14372" width="4.6640625" style="2" customWidth="1"/>
    <col min="14373" max="14373" width="6.6640625" style="2" customWidth="1"/>
    <col min="14374" max="14374" width="19.6640625" style="2" customWidth="1"/>
    <col min="14375" max="14375" width="24.6640625" style="2" customWidth="1"/>
    <col min="14376" max="14376" width="23.6640625" style="2" customWidth="1"/>
    <col min="14377" max="14400" width="11.44140625" style="2" customWidth="1"/>
    <col min="14401" max="14401" width="24.6640625" style="2" customWidth="1"/>
    <col min="14402" max="14402" width="23.6640625" style="2" customWidth="1"/>
    <col min="14403" max="14604" width="11.5546875" style="2"/>
    <col min="14605" max="14605" width="53.6640625" style="2" customWidth="1"/>
    <col min="14606" max="14615" width="6.6640625" style="2" customWidth="1"/>
    <col min="14616" max="14616" width="7.5546875" style="2" customWidth="1"/>
    <col min="14617" max="14617" width="5.6640625" style="2" customWidth="1"/>
    <col min="14618" max="14618" width="6.6640625" style="2" customWidth="1"/>
    <col min="14619" max="14619" width="9.6640625" style="2" customWidth="1"/>
    <col min="14620" max="14620" width="4.6640625" style="2" customWidth="1"/>
    <col min="14621" max="14621" width="12.6640625" style="2" customWidth="1"/>
    <col min="14622" max="14622" width="15.6640625" style="2" customWidth="1"/>
    <col min="14623" max="14623" width="5.6640625" style="2" customWidth="1"/>
    <col min="14624" max="14624" width="6.6640625" style="2" customWidth="1"/>
    <col min="14625" max="14625" width="19.6640625" style="2" customWidth="1"/>
    <col min="14626" max="14626" width="24.6640625" style="2" customWidth="1"/>
    <col min="14627" max="14627" width="23.6640625" style="2" customWidth="1"/>
    <col min="14628" max="14628" width="4.6640625" style="2" customWidth="1"/>
    <col min="14629" max="14629" width="6.6640625" style="2" customWidth="1"/>
    <col min="14630" max="14630" width="19.6640625" style="2" customWidth="1"/>
    <col min="14631" max="14631" width="24.6640625" style="2" customWidth="1"/>
    <col min="14632" max="14632" width="23.6640625" style="2" customWidth="1"/>
    <col min="14633" max="14656" width="11.44140625" style="2" customWidth="1"/>
    <col min="14657" max="14657" width="24.6640625" style="2" customWidth="1"/>
    <col min="14658" max="14658" width="23.6640625" style="2" customWidth="1"/>
    <col min="14659" max="14860" width="11.5546875" style="2"/>
    <col min="14861" max="14861" width="53.6640625" style="2" customWidth="1"/>
    <col min="14862" max="14871" width="6.6640625" style="2" customWidth="1"/>
    <col min="14872" max="14872" width="7.5546875" style="2" customWidth="1"/>
    <col min="14873" max="14873" width="5.6640625" style="2" customWidth="1"/>
    <col min="14874" max="14874" width="6.6640625" style="2" customWidth="1"/>
    <col min="14875" max="14875" width="9.6640625" style="2" customWidth="1"/>
    <col min="14876" max="14876" width="4.6640625" style="2" customWidth="1"/>
    <col min="14877" max="14877" width="12.6640625" style="2" customWidth="1"/>
    <col min="14878" max="14878" width="15.6640625" style="2" customWidth="1"/>
    <col min="14879" max="14879" width="5.6640625" style="2" customWidth="1"/>
    <col min="14880" max="14880" width="6.6640625" style="2" customWidth="1"/>
    <col min="14881" max="14881" width="19.6640625" style="2" customWidth="1"/>
    <col min="14882" max="14882" width="24.6640625" style="2" customWidth="1"/>
    <col min="14883" max="14883" width="23.6640625" style="2" customWidth="1"/>
    <col min="14884" max="14884" width="4.6640625" style="2" customWidth="1"/>
    <col min="14885" max="14885" width="6.6640625" style="2" customWidth="1"/>
    <col min="14886" max="14886" width="19.6640625" style="2" customWidth="1"/>
    <col min="14887" max="14887" width="24.6640625" style="2" customWidth="1"/>
    <col min="14888" max="14888" width="23.6640625" style="2" customWidth="1"/>
    <col min="14889" max="14912" width="11.44140625" style="2" customWidth="1"/>
    <col min="14913" max="14913" width="24.6640625" style="2" customWidth="1"/>
    <col min="14914" max="14914" width="23.6640625" style="2" customWidth="1"/>
    <col min="14915" max="15116" width="11.5546875" style="2"/>
    <col min="15117" max="15117" width="53.6640625" style="2" customWidth="1"/>
    <col min="15118" max="15127" width="6.6640625" style="2" customWidth="1"/>
    <col min="15128" max="15128" width="7.5546875" style="2" customWidth="1"/>
    <col min="15129" max="15129" width="5.6640625" style="2" customWidth="1"/>
    <col min="15130" max="15130" width="6.6640625" style="2" customWidth="1"/>
    <col min="15131" max="15131" width="9.6640625" style="2" customWidth="1"/>
    <col min="15132" max="15132" width="4.6640625" style="2" customWidth="1"/>
    <col min="15133" max="15133" width="12.6640625" style="2" customWidth="1"/>
    <col min="15134" max="15134" width="15.6640625" style="2" customWidth="1"/>
    <col min="15135" max="15135" width="5.6640625" style="2" customWidth="1"/>
    <col min="15136" max="15136" width="6.6640625" style="2" customWidth="1"/>
    <col min="15137" max="15137" width="19.6640625" style="2" customWidth="1"/>
    <col min="15138" max="15138" width="24.6640625" style="2" customWidth="1"/>
    <col min="15139" max="15139" width="23.6640625" style="2" customWidth="1"/>
    <col min="15140" max="15140" width="4.6640625" style="2" customWidth="1"/>
    <col min="15141" max="15141" width="6.6640625" style="2" customWidth="1"/>
    <col min="15142" max="15142" width="19.6640625" style="2" customWidth="1"/>
    <col min="15143" max="15143" width="24.6640625" style="2" customWidth="1"/>
    <col min="15144" max="15144" width="23.6640625" style="2" customWidth="1"/>
    <col min="15145" max="15168" width="11.44140625" style="2" customWidth="1"/>
    <col min="15169" max="15169" width="24.6640625" style="2" customWidth="1"/>
    <col min="15170" max="15170" width="23.6640625" style="2" customWidth="1"/>
    <col min="15171" max="15372" width="11.5546875" style="2"/>
    <col min="15373" max="15373" width="53.6640625" style="2" customWidth="1"/>
    <col min="15374" max="15383" width="6.6640625" style="2" customWidth="1"/>
    <col min="15384" max="15384" width="7.5546875" style="2" customWidth="1"/>
    <col min="15385" max="15385" width="5.6640625" style="2" customWidth="1"/>
    <col min="15386" max="15386" width="6.6640625" style="2" customWidth="1"/>
    <col min="15387" max="15387" width="9.6640625" style="2" customWidth="1"/>
    <col min="15388" max="15388" width="4.6640625" style="2" customWidth="1"/>
    <col min="15389" max="15389" width="12.6640625" style="2" customWidth="1"/>
    <col min="15390" max="15390" width="15.6640625" style="2" customWidth="1"/>
    <col min="15391" max="15391" width="5.6640625" style="2" customWidth="1"/>
    <col min="15392" max="15392" width="6.6640625" style="2" customWidth="1"/>
    <col min="15393" max="15393" width="19.6640625" style="2" customWidth="1"/>
    <col min="15394" max="15394" width="24.6640625" style="2" customWidth="1"/>
    <col min="15395" max="15395" width="23.6640625" style="2" customWidth="1"/>
    <col min="15396" max="15396" width="4.6640625" style="2" customWidth="1"/>
    <col min="15397" max="15397" width="6.6640625" style="2" customWidth="1"/>
    <col min="15398" max="15398" width="19.6640625" style="2" customWidth="1"/>
    <col min="15399" max="15399" width="24.6640625" style="2" customWidth="1"/>
    <col min="15400" max="15400" width="23.6640625" style="2" customWidth="1"/>
    <col min="15401" max="15424" width="11.44140625" style="2" customWidth="1"/>
    <col min="15425" max="15425" width="24.6640625" style="2" customWidth="1"/>
    <col min="15426" max="15426" width="23.6640625" style="2" customWidth="1"/>
    <col min="15427" max="15628" width="11.5546875" style="2"/>
    <col min="15629" max="15629" width="53.6640625" style="2" customWidth="1"/>
    <col min="15630" max="15639" width="6.6640625" style="2" customWidth="1"/>
    <col min="15640" max="15640" width="7.5546875" style="2" customWidth="1"/>
    <col min="15641" max="15641" width="5.6640625" style="2" customWidth="1"/>
    <col min="15642" max="15642" width="6.6640625" style="2" customWidth="1"/>
    <col min="15643" max="15643" width="9.6640625" style="2" customWidth="1"/>
    <col min="15644" max="15644" width="4.6640625" style="2" customWidth="1"/>
    <col min="15645" max="15645" width="12.6640625" style="2" customWidth="1"/>
    <col min="15646" max="15646" width="15.6640625" style="2" customWidth="1"/>
    <col min="15647" max="15647" width="5.6640625" style="2" customWidth="1"/>
    <col min="15648" max="15648" width="6.6640625" style="2" customWidth="1"/>
    <col min="15649" max="15649" width="19.6640625" style="2" customWidth="1"/>
    <col min="15650" max="15650" width="24.6640625" style="2" customWidth="1"/>
    <col min="15651" max="15651" width="23.6640625" style="2" customWidth="1"/>
    <col min="15652" max="15652" width="4.6640625" style="2" customWidth="1"/>
    <col min="15653" max="15653" width="6.6640625" style="2" customWidth="1"/>
    <col min="15654" max="15654" width="19.6640625" style="2" customWidth="1"/>
    <col min="15655" max="15655" width="24.6640625" style="2" customWidth="1"/>
    <col min="15656" max="15656" width="23.6640625" style="2" customWidth="1"/>
    <col min="15657" max="15680" width="11.44140625" style="2" customWidth="1"/>
    <col min="15681" max="15681" width="24.6640625" style="2" customWidth="1"/>
    <col min="15682" max="15682" width="23.6640625" style="2" customWidth="1"/>
    <col min="15683" max="15884" width="11.5546875" style="2"/>
    <col min="15885" max="15885" width="53.6640625" style="2" customWidth="1"/>
    <col min="15886" max="15895" width="6.6640625" style="2" customWidth="1"/>
    <col min="15896" max="15896" width="7.5546875" style="2" customWidth="1"/>
    <col min="15897" max="15897" width="5.6640625" style="2" customWidth="1"/>
    <col min="15898" max="15898" width="6.6640625" style="2" customWidth="1"/>
    <col min="15899" max="15899" width="9.6640625" style="2" customWidth="1"/>
    <col min="15900" max="15900" width="4.6640625" style="2" customWidth="1"/>
    <col min="15901" max="15901" width="12.6640625" style="2" customWidth="1"/>
    <col min="15902" max="15902" width="15.6640625" style="2" customWidth="1"/>
    <col min="15903" max="15903" width="5.6640625" style="2" customWidth="1"/>
    <col min="15904" max="15904" width="6.6640625" style="2" customWidth="1"/>
    <col min="15905" max="15905" width="19.6640625" style="2" customWidth="1"/>
    <col min="15906" max="15906" width="24.6640625" style="2" customWidth="1"/>
    <col min="15907" max="15907" width="23.6640625" style="2" customWidth="1"/>
    <col min="15908" max="15908" width="4.6640625" style="2" customWidth="1"/>
    <col min="15909" max="15909" width="6.6640625" style="2" customWidth="1"/>
    <col min="15910" max="15910" width="19.6640625" style="2" customWidth="1"/>
    <col min="15911" max="15911" width="24.6640625" style="2" customWidth="1"/>
    <col min="15912" max="15912" width="23.6640625" style="2" customWidth="1"/>
    <col min="15913" max="15936" width="11.44140625" style="2" customWidth="1"/>
    <col min="15937" max="15937" width="24.6640625" style="2" customWidth="1"/>
    <col min="15938" max="15938" width="23.6640625" style="2" customWidth="1"/>
    <col min="15939" max="16140" width="11.5546875" style="2"/>
    <col min="16141" max="16141" width="53.6640625" style="2" customWidth="1"/>
    <col min="16142" max="16151" width="6.6640625" style="2" customWidth="1"/>
    <col min="16152" max="16152" width="7.5546875" style="2" customWidth="1"/>
    <col min="16153" max="16153" width="5.6640625" style="2" customWidth="1"/>
    <col min="16154" max="16154" width="6.6640625" style="2" customWidth="1"/>
    <col min="16155" max="16155" width="9.6640625" style="2" customWidth="1"/>
    <col min="16156" max="16156" width="4.6640625" style="2" customWidth="1"/>
    <col min="16157" max="16157" width="12.6640625" style="2" customWidth="1"/>
    <col min="16158" max="16158" width="15.6640625" style="2" customWidth="1"/>
    <col min="16159" max="16159" width="5.6640625" style="2" customWidth="1"/>
    <col min="16160" max="16160" width="6.6640625" style="2" customWidth="1"/>
    <col min="16161" max="16161" width="19.6640625" style="2" customWidth="1"/>
    <col min="16162" max="16162" width="24.6640625" style="2" customWidth="1"/>
    <col min="16163" max="16163" width="23.6640625" style="2" customWidth="1"/>
    <col min="16164" max="16164" width="4.6640625" style="2" customWidth="1"/>
    <col min="16165" max="16165" width="6.6640625" style="2" customWidth="1"/>
    <col min="16166" max="16166" width="19.6640625" style="2" customWidth="1"/>
    <col min="16167" max="16167" width="24.6640625" style="2" customWidth="1"/>
    <col min="16168" max="16168" width="23.6640625" style="2" customWidth="1"/>
    <col min="16169" max="16192" width="11.44140625" style="2" customWidth="1"/>
    <col min="16193" max="16193" width="24.6640625" style="2" customWidth="1"/>
    <col min="16194" max="16194" width="23.6640625" style="2" customWidth="1"/>
    <col min="16195" max="16384" width="11.5546875" style="2"/>
  </cols>
  <sheetData>
    <row r="1" spans="1:257" ht="24.6" x14ac:dyDescent="0.3">
      <c r="A1" s="1" t="s">
        <v>349</v>
      </c>
      <c r="AC1" s="2"/>
      <c r="AD1" s="2"/>
      <c r="AE1" s="2"/>
      <c r="AF1" s="2"/>
      <c r="AG1" s="2"/>
      <c r="AH1" s="2"/>
      <c r="AI1" s="2"/>
      <c r="AJ1" s="2"/>
      <c r="AK1" s="2"/>
      <c r="AL1" s="2"/>
      <c r="AM1" s="2"/>
      <c r="AN1" s="2"/>
      <c r="AO1" s="2"/>
      <c r="AP1" s="2"/>
      <c r="AQ1" s="2"/>
      <c r="AR1" s="261"/>
      <c r="AS1" s="261"/>
      <c r="AT1" s="261"/>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ht="22.8" x14ac:dyDescent="0.4">
      <c r="A2" s="5"/>
      <c r="C2"/>
      <c r="Q2" s="2"/>
      <c r="R2" s="2"/>
      <c r="T2" s="570">
        <v>9</v>
      </c>
      <c r="U2" s="2" t="s">
        <v>93</v>
      </c>
      <c r="AC2" s="2"/>
      <c r="AD2" s="2"/>
      <c r="AE2" s="2"/>
      <c r="AF2" s="2"/>
      <c r="AG2" s="2"/>
      <c r="AH2" s="2"/>
      <c r="AI2" s="2"/>
      <c r="AJ2" s="2"/>
      <c r="AK2" s="2"/>
      <c r="AL2" s="2"/>
      <c r="AM2" s="2"/>
      <c r="AN2" s="2"/>
      <c r="AO2" s="2"/>
      <c r="AP2" s="2"/>
      <c r="AQ2" s="2"/>
      <c r="AR2" s="261"/>
      <c r="AS2" s="261"/>
      <c r="AT2" s="261"/>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row>
    <row r="3" spans="1:257" x14ac:dyDescent="0.3">
      <c r="A3" s="559" t="s">
        <v>362</v>
      </c>
      <c r="AC3" s="2"/>
      <c r="AD3" s="2"/>
      <c r="AE3" s="2"/>
      <c r="AF3" s="2"/>
      <c r="AG3" s="2"/>
      <c r="AH3" s="2"/>
      <c r="AI3" s="2"/>
      <c r="AJ3" s="2"/>
      <c r="AK3" s="2"/>
      <c r="AL3" s="2"/>
      <c r="AM3" s="2"/>
      <c r="AN3" s="2"/>
      <c r="AO3" s="2"/>
      <c r="AP3" s="2"/>
      <c r="AQ3" s="2"/>
      <c r="AR3" s="261"/>
      <c r="AS3" s="261"/>
      <c r="AT3" s="261"/>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x14ac:dyDescent="0.3">
      <c r="A4" s="203" t="s">
        <v>363</v>
      </c>
      <c r="B4" s="555" t="s">
        <v>342</v>
      </c>
      <c r="AC4" s="2"/>
      <c r="AD4" s="2"/>
      <c r="AE4" s="2"/>
      <c r="AF4" s="2"/>
      <c r="AG4" s="2"/>
      <c r="AH4" s="2"/>
      <c r="AI4" s="2"/>
      <c r="AJ4" s="2"/>
      <c r="AK4" s="2"/>
      <c r="AL4" s="2"/>
      <c r="AM4" s="2"/>
      <c r="AN4" s="2"/>
      <c r="AO4" s="2"/>
      <c r="AP4" s="2"/>
      <c r="AQ4" s="2"/>
      <c r="AR4" s="261"/>
      <c r="AS4" s="261"/>
      <c r="AT4" s="261"/>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row>
    <row r="5" spans="1:257" s="156" customFormat="1" ht="5.0999999999999996" customHeight="1" x14ac:dyDescent="0.3">
      <c r="A5" s="660"/>
      <c r="N5" s="661"/>
      <c r="Q5" s="146"/>
      <c r="R5" s="146"/>
      <c r="X5" s="300"/>
      <c r="Y5" s="300"/>
      <c r="Z5" s="300"/>
      <c r="AA5" s="300"/>
      <c r="AB5" s="300"/>
      <c r="AR5" s="662"/>
      <c r="AS5" s="662"/>
      <c r="AT5" s="662"/>
    </row>
    <row r="6" spans="1:257" x14ac:dyDescent="0.3">
      <c r="A6" s="203" t="s">
        <v>343</v>
      </c>
      <c r="B6" s="556" t="s">
        <v>340</v>
      </c>
      <c r="T6" s="792" t="s">
        <v>94</v>
      </c>
      <c r="U6" s="792"/>
      <c r="V6" s="792"/>
      <c r="W6" s="792"/>
      <c r="X6" s="792"/>
      <c r="Y6" s="792"/>
      <c r="Z6" s="792"/>
      <c r="AA6" s="300"/>
      <c r="AB6" s="300"/>
      <c r="AC6" s="2"/>
      <c r="AD6" s="2"/>
      <c r="AE6" s="2"/>
      <c r="AF6" s="2"/>
      <c r="AG6" s="2"/>
      <c r="AH6" s="2"/>
      <c r="AI6" s="2"/>
      <c r="AJ6" s="2"/>
      <c r="AK6" s="2"/>
      <c r="AL6" s="2"/>
      <c r="AM6" s="2"/>
      <c r="AN6" s="2"/>
      <c r="AO6" s="2"/>
      <c r="AP6" s="2"/>
      <c r="AQ6" s="2"/>
      <c r="AR6" s="261"/>
      <c r="AS6" s="261"/>
      <c r="AT6" s="261"/>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row>
    <row r="7" spans="1:257" x14ac:dyDescent="0.3">
      <c r="A7" s="203" t="s">
        <v>344</v>
      </c>
      <c r="B7" s="557" t="s">
        <v>341</v>
      </c>
      <c r="E7" s="801" t="s">
        <v>90</v>
      </c>
      <c r="F7" s="802"/>
      <c r="G7" s="802"/>
      <c r="H7" s="803"/>
      <c r="J7" s="804">
        <v>2022</v>
      </c>
      <c r="K7" s="805"/>
      <c r="L7" s="806"/>
      <c r="T7" s="571">
        <v>1</v>
      </c>
      <c r="U7" s="653" t="s">
        <v>168</v>
      </c>
      <c r="V7" s="653" t="s">
        <v>369</v>
      </c>
      <c r="W7" s="653" t="s">
        <v>173</v>
      </c>
      <c r="X7" s="653" t="s">
        <v>14</v>
      </c>
      <c r="Y7" s="656"/>
      <c r="Z7" s="657"/>
      <c r="AA7" s="605" t="s">
        <v>399</v>
      </c>
      <c r="AB7" s="300"/>
      <c r="AC7" s="2"/>
      <c r="AD7" s="2"/>
      <c r="AE7" s="2"/>
      <c r="AF7" s="2"/>
      <c r="AG7" s="2"/>
      <c r="AH7" s="2"/>
      <c r="AI7" s="2"/>
      <c r="AJ7" s="2"/>
      <c r="AK7" s="2"/>
      <c r="AL7" s="2"/>
      <c r="AM7" s="2"/>
      <c r="AN7" s="2"/>
      <c r="AO7" s="2"/>
      <c r="AP7" s="2"/>
      <c r="AQ7" s="2"/>
      <c r="AR7" s="261"/>
      <c r="AS7" s="261"/>
      <c r="AT7" s="261"/>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x14ac:dyDescent="0.3">
      <c r="T8" s="438">
        <v>2</v>
      </c>
      <c r="U8" s="3" t="s">
        <v>168</v>
      </c>
      <c r="V8" s="3" t="s">
        <v>369</v>
      </c>
      <c r="W8" s="3" t="s">
        <v>166</v>
      </c>
      <c r="X8" s="3" t="s">
        <v>14</v>
      </c>
      <c r="Y8" s="36"/>
      <c r="Z8" s="214"/>
      <c r="AA8" s="605" t="s">
        <v>399</v>
      </c>
      <c r="AB8" s="300"/>
      <c r="AC8" s="2"/>
      <c r="AD8" s="2"/>
      <c r="AE8" s="2"/>
      <c r="AF8" s="2"/>
      <c r="AG8" s="2"/>
      <c r="AH8" s="2"/>
      <c r="AI8" s="2"/>
      <c r="AJ8" s="2"/>
      <c r="AK8" s="2"/>
      <c r="AL8" s="2"/>
      <c r="AM8" s="2"/>
      <c r="AN8" s="2"/>
      <c r="AO8" s="2"/>
      <c r="AP8" s="2"/>
      <c r="AQ8" s="2"/>
      <c r="AR8" s="261"/>
      <c r="AS8" s="261"/>
      <c r="AT8" s="261"/>
      <c r="AU8" s="2"/>
      <c r="AV8" s="2"/>
      <c r="AW8" s="2"/>
      <c r="AX8" s="2"/>
      <c r="AY8" s="2"/>
      <c r="AZ8" s="2"/>
      <c r="BA8" s="2"/>
      <c r="BB8" s="2"/>
      <c r="BC8" s="2"/>
      <c r="BD8" s="4" t="s">
        <v>336</v>
      </c>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row>
    <row r="9" spans="1:257" ht="17.399999999999999" x14ac:dyDescent="0.3">
      <c r="B9" s="807" t="s">
        <v>290</v>
      </c>
      <c r="C9" s="808"/>
      <c r="D9" s="808"/>
      <c r="E9" s="808"/>
      <c r="F9" s="808"/>
      <c r="G9" s="808"/>
      <c r="H9" s="808"/>
      <c r="I9" s="808"/>
      <c r="J9" s="808"/>
      <c r="K9" s="808"/>
      <c r="L9" s="808"/>
      <c r="M9" s="808"/>
      <c r="N9" s="808"/>
      <c r="O9" s="809"/>
      <c r="P9" s="810" t="s">
        <v>304</v>
      </c>
      <c r="Q9" s="811"/>
      <c r="R9" s="812"/>
      <c r="T9" s="438">
        <v>15</v>
      </c>
      <c r="U9" s="172" t="s">
        <v>168</v>
      </c>
      <c r="V9" s="172" t="s">
        <v>370</v>
      </c>
      <c r="W9" s="172" t="s">
        <v>371</v>
      </c>
      <c r="X9" s="172" t="s">
        <v>14</v>
      </c>
      <c r="Y9" s="36"/>
      <c r="Z9" s="214"/>
      <c r="AA9" s="605" t="s">
        <v>399</v>
      </c>
      <c r="AB9" s="300"/>
      <c r="AC9" s="2"/>
      <c r="AD9" s="2"/>
      <c r="AE9" s="2"/>
      <c r="AF9" s="2"/>
      <c r="AG9" s="2"/>
      <c r="AH9" s="2"/>
      <c r="AI9" s="2"/>
      <c r="AJ9" s="2"/>
      <c r="AK9" s="2"/>
      <c r="AL9" s="2"/>
      <c r="AM9" s="2"/>
      <c r="AN9" s="2"/>
      <c r="AO9" s="2"/>
      <c r="AP9" s="2"/>
      <c r="AQ9" s="2"/>
      <c r="AR9" s="261"/>
      <c r="AS9" s="261"/>
      <c r="AT9" s="261"/>
      <c r="AU9" s="2"/>
      <c r="AV9" s="2"/>
      <c r="AW9" s="2"/>
      <c r="AX9" s="2"/>
      <c r="AY9" s="2"/>
      <c r="AZ9" s="2"/>
      <c r="BA9" s="2"/>
      <c r="BB9" s="2"/>
      <c r="BC9" s="2"/>
      <c r="BD9" s="4" t="s">
        <v>336</v>
      </c>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x14ac:dyDescent="0.3">
      <c r="B10" s="748" t="s">
        <v>91</v>
      </c>
      <c r="C10" s="749"/>
      <c r="D10" s="749"/>
      <c r="E10" s="749"/>
      <c r="F10" s="749"/>
      <c r="G10" s="749"/>
      <c r="H10" s="749"/>
      <c r="I10" s="749"/>
      <c r="J10" s="749"/>
      <c r="K10" s="749"/>
      <c r="L10" s="749"/>
      <c r="M10" s="750"/>
      <c r="N10" s="748" t="s">
        <v>92</v>
      </c>
      <c r="O10" s="750"/>
      <c r="P10" s="798" t="s">
        <v>1</v>
      </c>
      <c r="Q10" s="799"/>
      <c r="R10" s="800"/>
      <c r="T10" s="438">
        <v>3</v>
      </c>
      <c r="U10" s="172" t="s">
        <v>168</v>
      </c>
      <c r="V10" s="172" t="s">
        <v>369</v>
      </c>
      <c r="W10" s="172" t="s">
        <v>167</v>
      </c>
      <c r="X10" s="172" t="s">
        <v>15</v>
      </c>
      <c r="Y10" s="36"/>
      <c r="Z10" s="214"/>
      <c r="AA10" s="605" t="s">
        <v>400</v>
      </c>
      <c r="AB10" s="300"/>
      <c r="AC10" s="2"/>
      <c r="AD10" s="2"/>
      <c r="AE10" s="2"/>
      <c r="AF10" s="2"/>
      <c r="AG10" s="2"/>
      <c r="AH10" s="2"/>
      <c r="AI10" s="2"/>
      <c r="AJ10" s="2"/>
      <c r="AK10" s="2"/>
      <c r="AL10" s="2"/>
      <c r="AM10" s="2"/>
      <c r="AN10" s="2"/>
      <c r="AO10" s="2"/>
      <c r="AP10" s="2"/>
      <c r="AQ10" s="2"/>
      <c r="AR10" s="261"/>
      <c r="AS10" s="261"/>
      <c r="AT10" s="261"/>
      <c r="AU10" s="2"/>
      <c r="AV10" s="2"/>
      <c r="AW10" s="2"/>
      <c r="AX10" s="2"/>
      <c r="AY10" s="2"/>
      <c r="AZ10" s="2"/>
      <c r="BA10" s="2"/>
      <c r="BB10" s="2"/>
      <c r="BC10" s="2"/>
      <c r="BD10" s="4" t="s">
        <v>336</v>
      </c>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row>
    <row r="11" spans="1:257" ht="17.399999999999999" x14ac:dyDescent="0.3">
      <c r="B11" s="6"/>
      <c r="C11" s="7"/>
      <c r="D11" s="7"/>
      <c r="E11" s="7"/>
      <c r="F11" s="7"/>
      <c r="G11" s="7"/>
      <c r="H11" s="7"/>
      <c r="I11" s="7"/>
      <c r="J11" s="7"/>
      <c r="K11" s="7"/>
      <c r="L11" s="7"/>
      <c r="M11" s="8"/>
      <c r="N11" s="6"/>
      <c r="O11" s="8"/>
      <c r="P11" s="816" t="s">
        <v>170</v>
      </c>
      <c r="Q11" s="817"/>
      <c r="R11" s="818"/>
      <c r="T11" s="438">
        <v>16</v>
      </c>
      <c r="U11" s="172" t="s">
        <v>168</v>
      </c>
      <c r="V11" s="172" t="s">
        <v>370</v>
      </c>
      <c r="W11" s="172" t="s">
        <v>167</v>
      </c>
      <c r="X11" s="172" t="s">
        <v>15</v>
      </c>
      <c r="Y11" s="36"/>
      <c r="Z11" s="214"/>
      <c r="AA11" s="605" t="s">
        <v>401</v>
      </c>
      <c r="AB11" s="300"/>
      <c r="AC11" s="2"/>
      <c r="AD11" s="2"/>
      <c r="AE11" s="2"/>
      <c r="AF11" s="2"/>
      <c r="AG11" s="2"/>
      <c r="AH11" s="2"/>
      <c r="AI11" s="2"/>
      <c r="AJ11" s="2"/>
      <c r="AK11" s="2"/>
      <c r="AL11" s="2"/>
      <c r="AM11" s="2"/>
      <c r="AN11" s="2"/>
      <c r="AO11" s="2"/>
      <c r="AP11" s="2"/>
      <c r="AQ11" s="2"/>
      <c r="AR11" s="261"/>
      <c r="AS11" s="261"/>
      <c r="AT11" s="261"/>
      <c r="AU11" s="2"/>
      <c r="AV11" s="2"/>
      <c r="AW11" s="2"/>
      <c r="AX11" s="2"/>
      <c r="AY11" s="2"/>
      <c r="AZ11" s="2"/>
      <c r="BA11" s="2"/>
      <c r="BB11" s="2"/>
      <c r="BC11" s="2"/>
      <c r="BD11" s="4" t="s">
        <v>336</v>
      </c>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row>
    <row r="12" spans="1:257" x14ac:dyDescent="0.3">
      <c r="B12" s="745"/>
      <c r="C12" s="746"/>
      <c r="D12" s="746"/>
      <c r="E12" s="746"/>
      <c r="F12" s="746"/>
      <c r="G12" s="746"/>
      <c r="H12" s="746"/>
      <c r="I12" s="746"/>
      <c r="J12" s="746"/>
      <c r="K12" s="746"/>
      <c r="L12" s="746"/>
      <c r="M12" s="747"/>
      <c r="N12" s="745"/>
      <c r="O12" s="747"/>
      <c r="P12" s="819">
        <v>0</v>
      </c>
      <c r="Q12" s="820"/>
      <c r="R12" s="821"/>
      <c r="T12" s="438">
        <v>4</v>
      </c>
      <c r="U12" s="172" t="s">
        <v>168</v>
      </c>
      <c r="V12" s="172" t="s">
        <v>369</v>
      </c>
      <c r="W12" s="172" t="s">
        <v>169</v>
      </c>
      <c r="X12" s="172" t="s">
        <v>15</v>
      </c>
      <c r="Y12" s="36"/>
      <c r="Z12" s="214"/>
      <c r="AA12" s="605" t="s">
        <v>306</v>
      </c>
      <c r="AB12" s="300"/>
      <c r="AC12" s="2"/>
      <c r="AD12" s="2"/>
      <c r="AE12" s="2"/>
      <c r="AF12" s="2"/>
      <c r="AG12" s="2"/>
      <c r="AH12" s="2"/>
      <c r="AI12" s="2"/>
      <c r="AJ12" s="2"/>
      <c r="AK12" s="2"/>
      <c r="AL12" s="2"/>
      <c r="AM12" s="2"/>
      <c r="AN12" s="2"/>
      <c r="AO12" s="2"/>
      <c r="AP12" s="2"/>
      <c r="AQ12" s="2"/>
      <c r="AR12" s="261"/>
      <c r="AS12" s="261"/>
      <c r="AT12" s="261"/>
      <c r="AU12" s="2"/>
      <c r="AV12" s="2"/>
      <c r="AW12" s="2"/>
      <c r="AX12" s="2"/>
      <c r="AY12" s="2"/>
      <c r="AZ12" s="2"/>
      <c r="BA12" s="2"/>
      <c r="BB12" s="2"/>
      <c r="BC12" s="2"/>
      <c r="BD12" s="4" t="s">
        <v>336</v>
      </c>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row>
    <row r="13" spans="1:257" x14ac:dyDescent="0.3">
      <c r="B13" s="9"/>
      <c r="C13" s="10"/>
      <c r="D13" s="10"/>
      <c r="E13" s="10"/>
      <c r="F13" s="10"/>
      <c r="G13" s="10"/>
      <c r="H13" s="10"/>
      <c r="I13" s="10"/>
      <c r="J13" s="10"/>
      <c r="K13" s="10"/>
      <c r="L13" s="10"/>
      <c r="M13" s="11"/>
      <c r="N13" s="9"/>
      <c r="O13" s="11"/>
      <c r="P13" s="822" t="s">
        <v>18</v>
      </c>
      <c r="Q13" s="823"/>
      <c r="R13" s="824"/>
      <c r="T13" s="572">
        <v>5</v>
      </c>
      <c r="U13" s="37" t="s">
        <v>168</v>
      </c>
      <c r="V13" s="37" t="s">
        <v>369</v>
      </c>
      <c r="W13" s="655" t="s">
        <v>99</v>
      </c>
      <c r="X13" s="37" t="s">
        <v>16</v>
      </c>
      <c r="Y13" s="229"/>
      <c r="Z13" s="230"/>
      <c r="AA13" s="605" t="s">
        <v>306</v>
      </c>
      <c r="AB13" s="300"/>
      <c r="AC13" s="2"/>
      <c r="AD13" s="2"/>
      <c r="AE13" s="2"/>
      <c r="AF13" s="2"/>
      <c r="AG13" s="2"/>
      <c r="AH13" s="2"/>
      <c r="AI13" s="2"/>
      <c r="AJ13" s="2"/>
      <c r="AK13" s="2"/>
      <c r="AL13" s="2"/>
      <c r="AM13" s="2"/>
      <c r="AN13" s="2"/>
      <c r="AO13" s="2"/>
      <c r="AP13" s="2"/>
      <c r="AQ13" s="2"/>
      <c r="AR13" s="261"/>
      <c r="AS13" s="261"/>
      <c r="AT13" s="261"/>
      <c r="AU13" s="2"/>
      <c r="AV13" s="2"/>
      <c r="AW13" s="2"/>
      <c r="AX13" s="2"/>
      <c r="AY13" s="2"/>
      <c r="AZ13" s="2"/>
      <c r="BA13" s="2"/>
      <c r="BB13" s="2"/>
      <c r="BC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row>
    <row r="14" spans="1:257" ht="8.1" customHeight="1" x14ac:dyDescent="0.3">
      <c r="A14" s="12"/>
      <c r="B14" s="13"/>
      <c r="C14" s="14"/>
      <c r="D14" s="14"/>
      <c r="E14" s="14"/>
      <c r="F14" s="14"/>
      <c r="G14" s="14"/>
      <c r="H14" s="14"/>
      <c r="I14" s="14"/>
      <c r="J14" s="14"/>
      <c r="K14" s="14"/>
      <c r="L14" s="14"/>
      <c r="M14" s="14"/>
      <c r="N14" s="13"/>
      <c r="O14" s="15"/>
      <c r="P14" s="13"/>
      <c r="Q14" s="16"/>
      <c r="R14" s="17"/>
      <c r="AA14" s="300"/>
      <c r="AB14" s="300"/>
      <c r="AC14" s="2"/>
      <c r="AD14" s="2"/>
      <c r="AE14" s="2"/>
      <c r="AF14" s="2"/>
      <c r="AG14" s="2"/>
      <c r="AH14" s="2"/>
      <c r="AI14" s="2"/>
      <c r="AJ14" s="2"/>
      <c r="AK14" s="2"/>
      <c r="AL14" s="2"/>
      <c r="AM14" s="2"/>
      <c r="AN14" s="2"/>
      <c r="AO14" s="2"/>
      <c r="AP14" s="2"/>
      <c r="AQ14" s="2"/>
      <c r="AR14" s="261"/>
      <c r="AS14" s="261"/>
      <c r="AT14" s="261"/>
      <c r="AU14" s="2"/>
      <c r="AV14" s="2"/>
      <c r="AW14" s="2"/>
      <c r="AX14" s="2"/>
      <c r="AY14" s="2"/>
      <c r="AZ14" s="2"/>
      <c r="BA14" s="2"/>
      <c r="BB14" s="2"/>
      <c r="BC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ht="15.6" x14ac:dyDescent="0.3">
      <c r="A15" s="18" t="s">
        <v>19</v>
      </c>
      <c r="B15" s="19"/>
      <c r="C15" s="20"/>
      <c r="D15" s="20"/>
      <c r="E15" s="20"/>
      <c r="F15" s="20"/>
      <c r="G15" s="20"/>
      <c r="H15" s="20"/>
      <c r="I15" s="20"/>
      <c r="J15" s="20"/>
      <c r="K15" s="20"/>
      <c r="L15" s="20"/>
      <c r="M15" s="20"/>
      <c r="N15" s="19"/>
      <c r="O15" s="21"/>
      <c r="P15" s="19"/>
      <c r="R15" s="22"/>
      <c r="Y15" s="2"/>
      <c r="Z15" s="2"/>
      <c r="AA15" s="156"/>
      <c r="AB15" s="156"/>
      <c r="AC15" s="2"/>
      <c r="AD15" s="2"/>
      <c r="AE15" s="2"/>
      <c r="AF15" s="2"/>
      <c r="AG15" s="2"/>
      <c r="AH15" s="2"/>
      <c r="AI15" s="2"/>
      <c r="AJ15" s="2"/>
      <c r="AK15" s="2"/>
      <c r="AL15" s="2"/>
      <c r="AM15" s="2"/>
      <c r="AN15" s="2"/>
      <c r="AO15" s="2"/>
      <c r="AP15" s="2"/>
      <c r="AQ15" s="2"/>
      <c r="AR15" s="261"/>
      <c r="AS15" s="261"/>
      <c r="AT15" s="261"/>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row>
    <row r="16" spans="1:257" ht="8.1" customHeight="1" x14ac:dyDescent="0.3">
      <c r="A16" s="23"/>
      <c r="B16" s="23"/>
      <c r="C16" s="24"/>
      <c r="D16" s="24"/>
      <c r="E16" s="24"/>
      <c r="F16" s="24"/>
      <c r="G16" s="24"/>
      <c r="H16" s="24"/>
      <c r="I16" s="24"/>
      <c r="J16" s="24"/>
      <c r="K16" s="24"/>
      <c r="L16" s="24"/>
      <c r="M16" s="24"/>
      <c r="N16" s="23"/>
      <c r="O16" s="25"/>
      <c r="P16" s="23"/>
      <c r="Q16" s="24"/>
      <c r="R16" s="25"/>
      <c r="AA16" s="300"/>
      <c r="AB16" s="300"/>
      <c r="AC16" s="2"/>
      <c r="AD16" s="2"/>
      <c r="AE16" s="2"/>
      <c r="AF16" s="2"/>
      <c r="AG16" s="2"/>
      <c r="AH16" s="2"/>
      <c r="AI16" s="2"/>
      <c r="AJ16" s="2"/>
      <c r="AK16" s="2"/>
      <c r="AL16" s="2"/>
      <c r="AM16" s="2"/>
      <c r="AN16" s="2"/>
      <c r="AO16" s="2"/>
      <c r="AP16" s="2"/>
      <c r="AQ16" s="2"/>
      <c r="AR16" s="261"/>
      <c r="AS16" s="261"/>
      <c r="AT16" s="261"/>
      <c r="AU16" s="2"/>
      <c r="AV16" s="2"/>
      <c r="AW16" s="2"/>
      <c r="AX16" s="2"/>
      <c r="AY16" s="2"/>
      <c r="AZ16" s="2"/>
      <c r="BA16" s="2"/>
      <c r="BB16" s="2"/>
      <c r="BC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row>
    <row r="17" spans="1:257" x14ac:dyDescent="0.3">
      <c r="A17" s="26" t="s">
        <v>20</v>
      </c>
      <c r="B17" s="145"/>
      <c r="C17" s="148"/>
      <c r="D17" s="148"/>
      <c r="E17" s="148"/>
      <c r="F17" s="148"/>
      <c r="G17" s="148"/>
      <c r="H17" s="148"/>
      <c r="I17" s="148"/>
      <c r="J17" s="148"/>
      <c r="K17" s="148"/>
      <c r="L17" s="176">
        <v>166</v>
      </c>
      <c r="M17" s="28" t="s">
        <v>96</v>
      </c>
      <c r="N17" s="29"/>
      <c r="O17" s="22"/>
      <c r="P17" s="26"/>
      <c r="R17" s="22"/>
      <c r="T17" s="793" t="s">
        <v>95</v>
      </c>
      <c r="U17" s="793"/>
      <c r="V17" s="793"/>
      <c r="W17" s="793"/>
      <c r="X17" s="793"/>
      <c r="Y17" s="793"/>
      <c r="Z17" s="793"/>
      <c r="AA17" s="156"/>
      <c r="AB17" s="156"/>
      <c r="AC17" s="2"/>
      <c r="AD17" s="2"/>
      <c r="AE17" s="2"/>
      <c r="AF17" s="2"/>
      <c r="AG17" s="2"/>
      <c r="AH17" s="2"/>
      <c r="AI17" s="2"/>
      <c r="AJ17" s="2"/>
      <c r="AK17" s="2"/>
      <c r="AL17" s="2"/>
      <c r="AM17" s="2"/>
      <c r="AN17" s="2"/>
      <c r="AO17" s="2"/>
      <c r="AP17" s="2"/>
      <c r="AQ17" s="2"/>
      <c r="AR17" s="261"/>
      <c r="AS17" s="261"/>
      <c r="AT17" s="261"/>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row>
    <row r="18" spans="1:257" x14ac:dyDescent="0.3">
      <c r="A18" s="26" t="s">
        <v>21</v>
      </c>
      <c r="B18" s="145"/>
      <c r="C18" s="148"/>
      <c r="D18" s="148"/>
      <c r="E18" s="148"/>
      <c r="F18" s="148"/>
      <c r="G18" s="148"/>
      <c r="H18" s="148"/>
      <c r="I18" s="148"/>
      <c r="J18" s="148"/>
      <c r="K18" s="148"/>
      <c r="L18" s="176">
        <v>100</v>
      </c>
      <c r="M18" s="28" t="s">
        <v>96</v>
      </c>
      <c r="N18" s="30">
        <v>60.24096385542169</v>
      </c>
      <c r="O18" s="31" t="s">
        <v>22</v>
      </c>
      <c r="P18" s="32"/>
      <c r="Q18" s="33" t="s">
        <v>260</v>
      </c>
      <c r="R18" s="34" t="s">
        <v>22</v>
      </c>
      <c r="T18" s="571">
        <v>6</v>
      </c>
      <c r="U18" s="653" t="s">
        <v>168</v>
      </c>
      <c r="V18" s="653" t="s">
        <v>369</v>
      </c>
      <c r="W18" s="653" t="s">
        <v>175</v>
      </c>
      <c r="X18" s="654" t="s">
        <v>284</v>
      </c>
      <c r="Y18" s="656"/>
      <c r="Z18" s="654"/>
      <c r="AA18" s="605" t="s">
        <v>306</v>
      </c>
      <c r="AB18" s="156"/>
      <c r="AC18" s="2"/>
      <c r="AD18" s="2"/>
      <c r="AE18" s="2"/>
      <c r="AF18" s="2"/>
      <c r="AG18" s="2"/>
      <c r="AH18" s="2"/>
      <c r="AI18" s="2"/>
      <c r="AJ18" s="2"/>
      <c r="AK18" s="2"/>
      <c r="AL18" s="2"/>
      <c r="AM18" s="2"/>
      <c r="AN18" s="2"/>
      <c r="AO18" s="2"/>
      <c r="AP18" s="2"/>
      <c r="AQ18" s="2"/>
      <c r="AR18" s="261"/>
      <c r="AS18" s="261"/>
      <c r="AT18" s="261"/>
      <c r="AU18" s="2"/>
      <c r="AV18" s="2"/>
      <c r="AW18" s="2"/>
      <c r="AX18" s="2"/>
      <c r="AY18" s="2"/>
      <c r="AZ18" s="2"/>
      <c r="BA18" s="2"/>
      <c r="BB18" s="2"/>
      <c r="BC18" s="2"/>
      <c r="BD18" s="4" t="s">
        <v>336</v>
      </c>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row>
    <row r="19" spans="1:257" x14ac:dyDescent="0.3">
      <c r="A19" s="26" t="s">
        <v>23</v>
      </c>
      <c r="B19" s="145"/>
      <c r="C19" s="148"/>
      <c r="D19" s="148"/>
      <c r="E19" s="148"/>
      <c r="F19" s="148"/>
      <c r="G19" s="148"/>
      <c r="H19" s="148"/>
      <c r="I19" s="148"/>
      <c r="J19" s="148"/>
      <c r="K19" s="148"/>
      <c r="L19" s="176">
        <v>38</v>
      </c>
      <c r="M19" s="28" t="s">
        <v>96</v>
      </c>
      <c r="N19" s="30">
        <v>38</v>
      </c>
      <c r="O19" s="31" t="s">
        <v>22</v>
      </c>
      <c r="P19" s="32"/>
      <c r="Q19" s="27" t="s">
        <v>25</v>
      </c>
      <c r="R19" s="35" t="s">
        <v>22</v>
      </c>
      <c r="T19" s="438">
        <v>7</v>
      </c>
      <c r="U19" s="3" t="s">
        <v>168</v>
      </c>
      <c r="V19" s="3" t="s">
        <v>369</v>
      </c>
      <c r="W19" s="142" t="s">
        <v>174</v>
      </c>
      <c r="X19" s="277" t="s">
        <v>280</v>
      </c>
      <c r="Y19" s="36"/>
      <c r="Z19" s="22"/>
      <c r="AA19" s="605" t="s">
        <v>306</v>
      </c>
      <c r="AB19" s="156"/>
      <c r="AC19" s="2"/>
      <c r="AD19" s="2"/>
      <c r="AE19" s="2"/>
      <c r="AF19" s="2"/>
      <c r="AG19" s="2"/>
      <c r="AH19" s="2"/>
      <c r="AI19" s="2"/>
      <c r="AJ19" s="2"/>
      <c r="AK19" s="2"/>
      <c r="AL19" s="2"/>
      <c r="AM19" s="2"/>
      <c r="AN19" s="2"/>
      <c r="AO19" s="2"/>
      <c r="AP19" s="2"/>
      <c r="AQ19" s="2"/>
      <c r="AR19" s="261"/>
      <c r="AS19" s="261"/>
      <c r="AT19" s="261"/>
      <c r="AU19" s="2"/>
      <c r="AV19" s="2"/>
      <c r="AW19" s="2"/>
      <c r="AX19" s="2"/>
      <c r="AY19" s="2"/>
      <c r="AZ19" s="2"/>
      <c r="BA19" s="2"/>
      <c r="BB19" s="2"/>
      <c r="BC19" s="2"/>
      <c r="BD19" s="4" t="s">
        <v>336</v>
      </c>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x14ac:dyDescent="0.3">
      <c r="A20" s="26" t="s">
        <v>26</v>
      </c>
      <c r="B20" s="145"/>
      <c r="C20" s="149"/>
      <c r="D20" s="149"/>
      <c r="E20" s="149"/>
      <c r="F20" s="149"/>
      <c r="G20" s="149"/>
      <c r="H20" s="149"/>
      <c r="I20" s="149"/>
      <c r="J20" s="149"/>
      <c r="K20" s="149"/>
      <c r="L20" s="176">
        <v>25</v>
      </c>
      <c r="M20" s="28" t="s">
        <v>27</v>
      </c>
      <c r="N20" s="30">
        <v>25</v>
      </c>
      <c r="O20" s="31" t="s">
        <v>27</v>
      </c>
      <c r="P20" s="32"/>
      <c r="Q20" s="33" t="s">
        <v>25</v>
      </c>
      <c r="R20" s="34" t="s">
        <v>27</v>
      </c>
      <c r="T20" s="438">
        <v>8</v>
      </c>
      <c r="U20" s="3" t="s">
        <v>168</v>
      </c>
      <c r="V20" s="3" t="s">
        <v>369</v>
      </c>
      <c r="W20" s="142" t="s">
        <v>97</v>
      </c>
      <c r="X20" s="277" t="s">
        <v>257</v>
      </c>
      <c r="Y20" s="36"/>
      <c r="Z20" s="22"/>
      <c r="AA20" s="4" t="s">
        <v>399</v>
      </c>
      <c r="AB20" s="156"/>
      <c r="AC20" s="2"/>
      <c r="AD20" s="2"/>
      <c r="AE20" s="2"/>
      <c r="AF20" s="2"/>
      <c r="AG20" s="2"/>
      <c r="AH20" s="2"/>
      <c r="AI20" s="2"/>
      <c r="AJ20" s="2"/>
      <c r="AK20" s="2"/>
      <c r="AL20" s="2"/>
      <c r="AM20" s="2"/>
      <c r="AN20" s="2"/>
      <c r="AO20" s="2"/>
      <c r="AP20" s="2"/>
      <c r="AQ20" s="2"/>
      <c r="AR20" s="261"/>
      <c r="AS20" s="261"/>
      <c r="AT20" s="261"/>
      <c r="AU20" s="2"/>
      <c r="AV20" s="2"/>
      <c r="AW20" s="2"/>
      <c r="AX20" s="2"/>
      <c r="AY20" s="2"/>
      <c r="AZ20" s="2"/>
      <c r="BA20" s="2"/>
      <c r="BB20" s="2"/>
      <c r="BC20" s="2"/>
      <c r="BD20" s="4" t="s">
        <v>336</v>
      </c>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row>
    <row r="21" spans="1:257" x14ac:dyDescent="0.3">
      <c r="A21" s="26" t="s">
        <v>98</v>
      </c>
      <c r="B21" s="145"/>
      <c r="C21" s="148"/>
      <c r="D21" s="148"/>
      <c r="E21" s="148"/>
      <c r="F21" s="148"/>
      <c r="G21" s="148"/>
      <c r="H21" s="148"/>
      <c r="I21" s="148"/>
      <c r="J21" s="148"/>
      <c r="K21" s="148"/>
      <c r="L21" s="176">
        <v>0</v>
      </c>
      <c r="M21" s="28" t="s">
        <v>96</v>
      </c>
      <c r="N21" s="30">
        <v>0</v>
      </c>
      <c r="O21" s="31" t="s">
        <v>22</v>
      </c>
      <c r="P21" s="32"/>
      <c r="Q21" s="33" t="s">
        <v>25</v>
      </c>
      <c r="R21" s="34" t="s">
        <v>22</v>
      </c>
      <c r="T21" s="438">
        <v>9</v>
      </c>
      <c r="U21" s="172" t="s">
        <v>170</v>
      </c>
      <c r="V21" s="172" t="s">
        <v>369</v>
      </c>
      <c r="W21" s="425" t="s">
        <v>176</v>
      </c>
      <c r="X21" s="277" t="s">
        <v>280</v>
      </c>
      <c r="Y21" s="36"/>
      <c r="Z21" s="22"/>
      <c r="AA21" s="605" t="s">
        <v>306</v>
      </c>
      <c r="AB21" s="156"/>
      <c r="AC21" s="2"/>
      <c r="AD21" s="2"/>
      <c r="AE21" s="2"/>
      <c r="AF21" s="2"/>
      <c r="AG21" s="2"/>
      <c r="AH21" s="2"/>
      <c r="AI21" s="2"/>
      <c r="AJ21" s="2"/>
      <c r="AK21" s="2"/>
      <c r="AL21" s="2"/>
      <c r="AM21" s="2"/>
      <c r="AN21" s="2"/>
      <c r="AO21" s="2"/>
      <c r="AP21" s="2"/>
      <c r="AQ21" s="2"/>
      <c r="AR21" s="261"/>
      <c r="AS21" s="261"/>
      <c r="AT21" s="261"/>
      <c r="AU21" s="2"/>
      <c r="AV21" s="2"/>
      <c r="AW21" s="2"/>
      <c r="AX21" s="2"/>
      <c r="AY21" s="2"/>
      <c r="AZ21" s="2"/>
      <c r="BA21" s="2"/>
      <c r="BB21" s="2"/>
      <c r="BC21" s="2"/>
      <c r="BD21" s="4" t="s">
        <v>336</v>
      </c>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row>
    <row r="22" spans="1:257" x14ac:dyDescent="0.3">
      <c r="A22" s="26" t="s">
        <v>30</v>
      </c>
      <c r="B22" s="145"/>
      <c r="C22" s="148"/>
      <c r="D22" s="148"/>
      <c r="E22" s="148"/>
      <c r="F22" s="148"/>
      <c r="G22" s="148"/>
      <c r="H22" s="148"/>
      <c r="I22" s="148"/>
      <c r="J22" s="148"/>
      <c r="K22" s="148"/>
      <c r="L22" s="176">
        <v>127.4</v>
      </c>
      <c r="M22" s="28" t="s">
        <v>96</v>
      </c>
      <c r="N22" s="30">
        <v>76.746987951807228</v>
      </c>
      <c r="O22" s="31" t="s">
        <v>22</v>
      </c>
      <c r="P22" s="32"/>
      <c r="Q22" s="33" t="s">
        <v>323</v>
      </c>
      <c r="R22" s="34" t="s">
        <v>22</v>
      </c>
      <c r="T22" s="438">
        <v>10</v>
      </c>
      <c r="U22" s="3" t="s">
        <v>171</v>
      </c>
      <c r="V22" s="3" t="s">
        <v>369</v>
      </c>
      <c r="W22" s="172" t="s">
        <v>176</v>
      </c>
      <c r="X22" s="279" t="s">
        <v>257</v>
      </c>
      <c r="Y22" s="36"/>
      <c r="Z22" s="22"/>
      <c r="AA22" s="4" t="s">
        <v>401</v>
      </c>
      <c r="AB22" s="156"/>
      <c r="AC22" s="2"/>
      <c r="AD22" s="2"/>
      <c r="AE22" s="2"/>
      <c r="AF22" s="2"/>
      <c r="AG22" s="2"/>
      <c r="AH22" s="2"/>
      <c r="AI22" s="2"/>
      <c r="AJ22" s="2"/>
      <c r="AK22" s="2"/>
      <c r="AL22" s="2"/>
      <c r="AM22" s="2"/>
      <c r="AN22" s="2"/>
      <c r="AO22" s="2"/>
      <c r="AP22" s="2"/>
      <c r="AQ22" s="2"/>
      <c r="AR22" s="261"/>
      <c r="AS22" s="261"/>
      <c r="AT22" s="261"/>
      <c r="AU22" s="2"/>
      <c r="AV22" s="2"/>
      <c r="AW22" s="2"/>
      <c r="AX22" s="2"/>
      <c r="AY22" s="2"/>
      <c r="AZ22" s="2"/>
      <c r="BA22" s="2"/>
      <c r="BB22" s="2"/>
      <c r="BC22" s="2"/>
      <c r="BD22" s="4" t="s">
        <v>336</v>
      </c>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row>
    <row r="23" spans="1:257" x14ac:dyDescent="0.3">
      <c r="A23" s="39" t="s">
        <v>100</v>
      </c>
      <c r="B23" s="145"/>
      <c r="C23" s="148"/>
      <c r="D23" s="148"/>
      <c r="E23" s="148"/>
      <c r="F23" s="148"/>
      <c r="G23" s="148"/>
      <c r="H23" s="148"/>
      <c r="I23" s="148"/>
      <c r="J23" s="148"/>
      <c r="K23" s="148"/>
      <c r="L23" s="176">
        <v>0</v>
      </c>
      <c r="M23" s="28" t="s">
        <v>96</v>
      </c>
      <c r="N23" s="30">
        <v>0</v>
      </c>
      <c r="O23" s="31" t="s">
        <v>22</v>
      </c>
      <c r="P23" s="32"/>
      <c r="Q23" s="33" t="s">
        <v>264</v>
      </c>
      <c r="R23" s="34" t="s">
        <v>22</v>
      </c>
      <c r="T23" s="438">
        <v>11</v>
      </c>
      <c r="U23" s="3" t="s">
        <v>172</v>
      </c>
      <c r="V23" s="3" t="s">
        <v>369</v>
      </c>
      <c r="W23" s="172" t="s">
        <v>177</v>
      </c>
      <c r="X23" s="22" t="s">
        <v>179</v>
      </c>
      <c r="Y23" s="36"/>
      <c r="Z23" s="22"/>
      <c r="AA23" s="4" t="s">
        <v>306</v>
      </c>
      <c r="AB23" s="156"/>
      <c r="AC23" s="2"/>
      <c r="AD23" s="2"/>
      <c r="AE23" s="2"/>
      <c r="AF23" s="2"/>
      <c r="AG23" s="2"/>
      <c r="AH23" s="2"/>
      <c r="AI23" s="2"/>
      <c r="AJ23" s="2"/>
      <c r="AK23" s="2"/>
      <c r="AL23" s="2"/>
      <c r="AM23" s="2"/>
      <c r="AN23" s="2"/>
      <c r="AO23" s="2"/>
      <c r="AP23" s="2"/>
      <c r="AQ23" s="2"/>
      <c r="AR23" s="261"/>
      <c r="AS23" s="261"/>
      <c r="AT23" s="261"/>
      <c r="AU23" s="2"/>
      <c r="AV23" s="2"/>
      <c r="AW23" s="2"/>
      <c r="AX23" s="2"/>
      <c r="AY23" s="2"/>
      <c r="AZ23" s="2"/>
      <c r="BA23" s="2"/>
      <c r="BB23" s="2"/>
      <c r="BC23" s="2"/>
      <c r="BD23" s="4" t="s">
        <v>336</v>
      </c>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row>
    <row r="24" spans="1:257" x14ac:dyDescent="0.3">
      <c r="A24" s="39" t="s">
        <v>101</v>
      </c>
      <c r="B24" s="145"/>
      <c r="C24" s="148"/>
      <c r="D24" s="148"/>
      <c r="E24" s="148"/>
      <c r="F24" s="148"/>
      <c r="G24" s="148"/>
      <c r="H24" s="148"/>
      <c r="I24" s="148"/>
      <c r="J24" s="148"/>
      <c r="K24" s="148"/>
      <c r="L24" s="176">
        <v>68.5</v>
      </c>
      <c r="M24" s="28" t="s">
        <v>96</v>
      </c>
      <c r="N24" s="30">
        <v>53.767660910518053</v>
      </c>
      <c r="O24" s="31" t="s">
        <v>22</v>
      </c>
      <c r="P24" s="32"/>
      <c r="Q24" s="33" t="s">
        <v>308</v>
      </c>
      <c r="R24" s="34" t="s">
        <v>22</v>
      </c>
      <c r="T24" s="438">
        <v>12</v>
      </c>
      <c r="U24" s="172" t="s">
        <v>172</v>
      </c>
      <c r="V24" s="172" t="s">
        <v>369</v>
      </c>
      <c r="W24" s="172" t="s">
        <v>178</v>
      </c>
      <c r="X24" s="277" t="s">
        <v>180</v>
      </c>
      <c r="Y24" s="36"/>
      <c r="Z24" s="214"/>
      <c r="AA24" s="4" t="s">
        <v>306</v>
      </c>
      <c r="AB24" s="300"/>
      <c r="AC24" s="2"/>
      <c r="AD24" s="2"/>
      <c r="AE24" s="2"/>
      <c r="AF24" s="2"/>
      <c r="AG24" s="2"/>
      <c r="AH24" s="2"/>
      <c r="AI24" s="2"/>
      <c r="AJ24" s="2"/>
      <c r="AK24" s="2"/>
      <c r="AL24" s="2"/>
      <c r="AM24" s="2"/>
      <c r="AN24" s="2"/>
      <c r="AO24" s="2"/>
      <c r="AP24" s="2"/>
      <c r="AQ24" s="2"/>
      <c r="AR24" s="261"/>
      <c r="AS24" s="261"/>
      <c r="AT24" s="261"/>
      <c r="AU24" s="2"/>
      <c r="AV24" s="2"/>
      <c r="AW24" s="2"/>
      <c r="AX24" s="2"/>
      <c r="AY24" s="2"/>
      <c r="AZ24" s="2"/>
      <c r="BA24" s="2"/>
      <c r="BB24" s="2"/>
      <c r="BC24" s="2"/>
      <c r="BD24" s="4" t="s">
        <v>336</v>
      </c>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row>
    <row r="25" spans="1:257" x14ac:dyDescent="0.3">
      <c r="A25" s="39" t="s">
        <v>281</v>
      </c>
      <c r="B25" s="145"/>
      <c r="C25" s="148"/>
      <c r="D25" s="148"/>
      <c r="E25" s="148"/>
      <c r="F25" s="148"/>
      <c r="G25" s="148"/>
      <c r="H25" s="148"/>
      <c r="I25" s="148"/>
      <c r="J25" s="148"/>
      <c r="K25" s="148"/>
      <c r="L25" s="177">
        <v>430000</v>
      </c>
      <c r="M25" s="28" t="s">
        <v>283</v>
      </c>
      <c r="N25" s="30">
        <v>3375.1962323390894</v>
      </c>
      <c r="O25" s="31" t="s">
        <v>282</v>
      </c>
      <c r="P25" s="32"/>
      <c r="Q25" s="33" t="s">
        <v>324</v>
      </c>
      <c r="R25" s="34" t="s">
        <v>282</v>
      </c>
      <c r="T25" s="438">
        <v>17</v>
      </c>
      <c r="U25" s="172" t="s">
        <v>172</v>
      </c>
      <c r="V25" s="172" t="s">
        <v>370</v>
      </c>
      <c r="W25" s="172" t="s">
        <v>178</v>
      </c>
      <c r="X25" s="277" t="s">
        <v>180</v>
      </c>
      <c r="Y25" s="36"/>
      <c r="Z25" s="214"/>
      <c r="AA25" s="4" t="s">
        <v>402</v>
      </c>
      <c r="AB25" s="300"/>
      <c r="AC25" s="2"/>
      <c r="AD25" s="2"/>
      <c r="AE25" s="2"/>
      <c r="AF25" s="2"/>
      <c r="AG25" s="2"/>
      <c r="AH25" s="2"/>
      <c r="AI25" s="2"/>
      <c r="AJ25" s="2"/>
      <c r="AK25" s="2"/>
      <c r="AL25" s="2"/>
      <c r="AM25" s="2"/>
      <c r="AN25" s="2"/>
      <c r="AO25" s="2"/>
      <c r="AP25" s="2"/>
      <c r="AQ25" s="2"/>
      <c r="AR25" s="261"/>
      <c r="AS25" s="261"/>
      <c r="AT25" s="261"/>
      <c r="AU25" s="2"/>
      <c r="AV25" s="2"/>
      <c r="AW25" s="2"/>
      <c r="AX25" s="2"/>
      <c r="AY25" s="2"/>
      <c r="AZ25" s="2"/>
      <c r="BA25" s="2"/>
      <c r="BB25" s="2"/>
      <c r="BC25" s="2"/>
      <c r="BD25" s="4" t="s">
        <v>303</v>
      </c>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row>
    <row r="26" spans="1:257" x14ac:dyDescent="0.3">
      <c r="A26" s="39" t="s">
        <v>37</v>
      </c>
      <c r="B26" s="145"/>
      <c r="C26" s="148"/>
      <c r="D26" s="148"/>
      <c r="E26" s="148"/>
      <c r="F26" s="148"/>
      <c r="G26" s="148"/>
      <c r="H26" s="148"/>
      <c r="I26" s="148"/>
      <c r="J26" s="148"/>
      <c r="K26" s="148"/>
      <c r="L26" s="176">
        <v>59</v>
      </c>
      <c r="M26" s="28" t="s">
        <v>96</v>
      </c>
      <c r="N26" s="30">
        <v>35.542168674698793</v>
      </c>
      <c r="O26" s="31" t="s">
        <v>22</v>
      </c>
      <c r="P26" s="32"/>
      <c r="Q26" s="33" t="s">
        <v>272</v>
      </c>
      <c r="R26" s="34" t="s">
        <v>22</v>
      </c>
      <c r="T26" s="438">
        <v>13</v>
      </c>
      <c r="U26" s="172" t="s">
        <v>295</v>
      </c>
      <c r="V26" s="172" t="s">
        <v>369</v>
      </c>
      <c r="W26" s="172" t="s">
        <v>296</v>
      </c>
      <c r="X26" s="277" t="s">
        <v>298</v>
      </c>
      <c r="Y26" s="36"/>
      <c r="Z26" s="214"/>
      <c r="AA26" s="4" t="s">
        <v>403</v>
      </c>
      <c r="AB26" s="300"/>
      <c r="AC26" s="2"/>
      <c r="AD26" s="2"/>
      <c r="AE26" s="2"/>
      <c r="AF26" s="2"/>
      <c r="AG26" s="2"/>
      <c r="AH26" s="2"/>
      <c r="AI26" s="2"/>
      <c r="AJ26" s="2"/>
      <c r="AK26" s="2"/>
      <c r="AL26" s="2"/>
      <c r="AM26" s="2"/>
      <c r="AN26" s="2"/>
      <c r="AO26" s="2"/>
      <c r="AP26" s="2"/>
      <c r="AQ26" s="2"/>
      <c r="AR26" s="261"/>
      <c r="AS26" s="261"/>
      <c r="AT26" s="261"/>
      <c r="AU26" s="2"/>
      <c r="AV26" s="2"/>
      <c r="AW26" s="2"/>
      <c r="AX26" s="2"/>
      <c r="AY26" s="2"/>
      <c r="AZ26" s="2"/>
      <c r="BA26" s="2"/>
      <c r="BB26" s="2"/>
      <c r="BC26" s="2"/>
      <c r="BD26" s="4" t="s">
        <v>303</v>
      </c>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row>
    <row r="27" spans="1:257" x14ac:dyDescent="0.3">
      <c r="A27" s="26" t="s">
        <v>102</v>
      </c>
      <c r="B27" s="145"/>
      <c r="C27" s="150"/>
      <c r="D27" s="150"/>
      <c r="E27" s="150"/>
      <c r="F27" s="150"/>
      <c r="G27" s="150"/>
      <c r="H27" s="150"/>
      <c r="I27" s="150"/>
      <c r="J27" s="150"/>
      <c r="K27" s="150"/>
      <c r="L27" s="177">
        <v>342493</v>
      </c>
      <c r="M27" s="42" t="s">
        <v>103</v>
      </c>
      <c r="N27" s="43">
        <v>2063.2108433734938</v>
      </c>
      <c r="O27" s="44" t="s">
        <v>40</v>
      </c>
      <c r="P27" s="45"/>
      <c r="Q27" s="33" t="s">
        <v>432</v>
      </c>
      <c r="R27" s="34" t="s">
        <v>40</v>
      </c>
      <c r="S27" s="156"/>
      <c r="T27" s="572">
        <v>14</v>
      </c>
      <c r="U27" s="37" t="s">
        <v>295</v>
      </c>
      <c r="V27" s="37" t="s">
        <v>369</v>
      </c>
      <c r="W27" s="37" t="s">
        <v>297</v>
      </c>
      <c r="X27" s="38" t="s">
        <v>298</v>
      </c>
      <c r="Y27" s="658"/>
      <c r="Z27" s="659"/>
      <c r="AA27" s="4" t="s">
        <v>403</v>
      </c>
      <c r="AB27" s="300"/>
      <c r="AC27" s="2"/>
      <c r="AD27" s="2"/>
      <c r="AE27" s="2"/>
      <c r="AF27" s="2"/>
      <c r="AG27" s="2"/>
      <c r="AH27" s="2"/>
      <c r="AI27" s="2"/>
      <c r="AJ27" s="2"/>
      <c r="AK27" s="2"/>
      <c r="AL27" s="2"/>
      <c r="AM27" s="2"/>
      <c r="AN27" s="2"/>
      <c r="AO27" s="2"/>
      <c r="AP27" s="2"/>
      <c r="AQ27" s="2"/>
      <c r="AR27" s="261"/>
      <c r="AS27" s="261"/>
      <c r="AT27" s="261"/>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row>
    <row r="28" spans="1:257" x14ac:dyDescent="0.3">
      <c r="A28" s="26" t="s">
        <v>104</v>
      </c>
      <c r="B28" s="145"/>
      <c r="C28" s="148"/>
      <c r="D28" s="148"/>
      <c r="E28" s="148"/>
      <c r="F28" s="148"/>
      <c r="G28" s="148"/>
      <c r="H28" s="148"/>
      <c r="I28" s="148"/>
      <c r="J28" s="148"/>
      <c r="K28" s="148"/>
      <c r="L28" s="176">
        <v>3</v>
      </c>
      <c r="M28" s="28" t="s">
        <v>105</v>
      </c>
      <c r="N28" s="30">
        <v>55.333333333333336</v>
      </c>
      <c r="O28" s="46" t="s">
        <v>43</v>
      </c>
      <c r="P28" s="47"/>
      <c r="Q28" s="33" t="s">
        <v>413</v>
      </c>
      <c r="R28" s="34" t="s">
        <v>43</v>
      </c>
      <c r="S28" s="156"/>
      <c r="T28" s="156"/>
      <c r="U28" s="156"/>
      <c r="V28" s="156"/>
      <c r="W28" s="156"/>
      <c r="X28" s="300"/>
      <c r="Y28" s="300"/>
      <c r="Z28" s="300"/>
      <c r="AA28" s="300"/>
      <c r="AB28" s="300"/>
      <c r="AC28" s="2"/>
      <c r="AD28" s="2"/>
      <c r="AE28" s="2"/>
      <c r="AF28" s="2"/>
      <c r="AG28" s="2"/>
      <c r="AH28" s="2"/>
      <c r="AI28" s="2"/>
      <c r="AJ28" s="2"/>
      <c r="AK28" s="2"/>
      <c r="AL28" s="2"/>
      <c r="AM28" s="2"/>
      <c r="AN28" s="2"/>
      <c r="AO28" s="2"/>
      <c r="AP28" s="2"/>
      <c r="AQ28" s="2"/>
      <c r="AR28" s="261"/>
      <c r="AS28" s="261"/>
      <c r="AT28" s="261"/>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row>
    <row r="29" spans="1:257" ht="8.1" customHeight="1" x14ac:dyDescent="0.3">
      <c r="A29" s="48"/>
      <c r="B29" s="151"/>
      <c r="C29" s="152"/>
      <c r="D29" s="152"/>
      <c r="E29" s="152"/>
      <c r="F29" s="152"/>
      <c r="G29" s="152"/>
      <c r="H29" s="152"/>
      <c r="I29" s="152"/>
      <c r="J29" s="152"/>
      <c r="K29" s="152"/>
      <c r="L29" s="37"/>
      <c r="M29" s="37"/>
      <c r="N29" s="49"/>
      <c r="O29" s="50"/>
      <c r="P29" s="48"/>
      <c r="Q29" s="37"/>
      <c r="R29" s="38"/>
      <c r="S29" s="156"/>
      <c r="T29" s="156"/>
      <c r="U29" s="156"/>
      <c r="V29" s="156"/>
      <c r="W29" s="156"/>
      <c r="X29" s="300"/>
      <c r="Y29" s="300"/>
      <c r="Z29" s="300"/>
      <c r="AA29" s="300"/>
      <c r="AB29" s="300"/>
      <c r="AC29" s="2"/>
      <c r="AD29" s="2"/>
      <c r="AE29" s="2"/>
      <c r="AF29" s="2"/>
      <c r="AG29" s="2"/>
      <c r="AH29" s="2"/>
      <c r="AI29" s="2"/>
      <c r="AJ29" s="2"/>
      <c r="AK29" s="2"/>
      <c r="AL29" s="2"/>
      <c r="AM29" s="2"/>
      <c r="AN29" s="2"/>
      <c r="AO29" s="2"/>
      <c r="AP29" s="2"/>
      <c r="AQ29" s="2"/>
      <c r="AR29" s="261"/>
      <c r="AS29" s="261"/>
      <c r="AT29" s="261"/>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row>
    <row r="30" spans="1:257" ht="8.1" customHeight="1" x14ac:dyDescent="0.3">
      <c r="A30" s="12"/>
      <c r="B30" s="153"/>
      <c r="C30" s="154"/>
      <c r="D30" s="154"/>
      <c r="E30" s="154"/>
      <c r="F30" s="154"/>
      <c r="G30" s="154"/>
      <c r="H30" s="154"/>
      <c r="I30" s="154"/>
      <c r="J30" s="154"/>
      <c r="K30" s="154"/>
      <c r="L30" s="154"/>
      <c r="M30" s="16"/>
      <c r="N30" s="51"/>
      <c r="O30" s="52"/>
      <c r="P30" s="53"/>
      <c r="Q30" s="16"/>
      <c r="R30" s="17"/>
      <c r="S30" s="156"/>
      <c r="T30" s="156"/>
      <c r="U30" s="156"/>
      <c r="V30" s="156"/>
      <c r="W30" s="156"/>
      <c r="X30" s="300"/>
      <c r="Y30" s="300"/>
      <c r="Z30" s="300"/>
      <c r="AA30" s="300"/>
      <c r="AB30" s="300"/>
      <c r="AC30" s="2"/>
      <c r="AD30" s="2"/>
      <c r="AE30" s="2"/>
      <c r="AF30" s="2"/>
      <c r="AG30" s="2"/>
      <c r="AH30" s="2"/>
      <c r="AI30" s="2"/>
      <c r="AJ30" s="2"/>
      <c r="AK30" s="2"/>
      <c r="AL30" s="2"/>
      <c r="AM30" s="2"/>
      <c r="AN30" s="2"/>
      <c r="AO30" s="2"/>
      <c r="AP30" s="2"/>
      <c r="AQ30" s="2"/>
      <c r="AR30" s="261"/>
      <c r="AS30" s="261"/>
      <c r="AT30" s="261"/>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spans="1:257" ht="15.6" x14ac:dyDescent="0.3">
      <c r="A31" s="18" t="s">
        <v>45</v>
      </c>
      <c r="B31" s="143"/>
      <c r="C31" s="144"/>
      <c r="D31" s="144"/>
      <c r="E31" s="144"/>
      <c r="F31" s="144"/>
      <c r="G31" s="144"/>
      <c r="H31" s="144"/>
      <c r="I31" s="144"/>
      <c r="J31" s="144"/>
      <c r="K31" s="144"/>
      <c r="L31" s="144"/>
      <c r="M31" s="54"/>
      <c r="N31" s="55"/>
      <c r="O31" s="56"/>
      <c r="P31" s="57"/>
      <c r="R31" s="22"/>
      <c r="S31" s="156"/>
      <c r="T31" s="156"/>
      <c r="U31" s="156"/>
      <c r="V31" s="156"/>
      <c r="W31" s="156"/>
      <c r="X31" s="300"/>
      <c r="Y31" s="300"/>
      <c r="Z31" s="300"/>
      <c r="AA31" s="300"/>
      <c r="AB31" s="300"/>
      <c r="AC31" s="2"/>
      <c r="AD31" s="2"/>
      <c r="AE31" s="2"/>
      <c r="AF31" s="2"/>
      <c r="AG31" s="2"/>
      <c r="AH31" s="2"/>
      <c r="AI31" s="2"/>
      <c r="AJ31" s="2"/>
      <c r="AK31" s="2"/>
      <c r="AL31" s="2"/>
      <c r="AM31" s="2"/>
      <c r="AN31" s="2"/>
      <c r="AO31" s="2"/>
      <c r="AP31" s="2"/>
      <c r="AQ31" s="2"/>
      <c r="AR31" s="261"/>
      <c r="AS31" s="261"/>
      <c r="AT31" s="261"/>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spans="1:257" ht="8.1" customHeight="1" x14ac:dyDescent="0.3">
      <c r="A32" s="26"/>
      <c r="B32" s="145"/>
      <c r="C32" s="146"/>
      <c r="D32" s="146"/>
      <c r="E32" s="146"/>
      <c r="F32" s="146"/>
      <c r="G32" s="146"/>
      <c r="H32" s="146"/>
      <c r="I32" s="146"/>
      <c r="J32" s="146"/>
      <c r="K32" s="146"/>
      <c r="L32" s="146"/>
      <c r="M32" s="3"/>
      <c r="N32" s="58"/>
      <c r="O32" s="59"/>
      <c r="P32" s="57"/>
      <c r="R32" s="22"/>
      <c r="S32" s="156"/>
      <c r="T32" s="156"/>
      <c r="U32" s="156"/>
      <c r="V32" s="156"/>
      <c r="W32" s="156"/>
      <c r="X32" s="300"/>
      <c r="Y32" s="300"/>
      <c r="Z32" s="300"/>
      <c r="AA32" s="300"/>
      <c r="AC32" s="2"/>
      <c r="AD32" s="2"/>
      <c r="AE32" s="2"/>
      <c r="AF32" s="2"/>
      <c r="AG32" s="2"/>
      <c r="AH32" s="2"/>
      <c r="AI32" s="2"/>
      <c r="AJ32" s="2"/>
      <c r="AK32" s="2"/>
      <c r="AL32" s="2"/>
      <c r="AM32" s="2"/>
      <c r="AN32" s="2"/>
      <c r="AO32" s="2"/>
      <c r="AP32" s="2"/>
      <c r="AQ32" s="2"/>
      <c r="AR32" s="261"/>
      <c r="AS32" s="261"/>
      <c r="AT32" s="261"/>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row r="33" spans="1:257" x14ac:dyDescent="0.3">
      <c r="A33" s="26" t="s">
        <v>106</v>
      </c>
      <c r="B33" s="794" t="s">
        <v>107</v>
      </c>
      <c r="C33" s="795"/>
      <c r="D33" s="795"/>
      <c r="E33" s="795"/>
      <c r="F33" s="795"/>
      <c r="G33" s="795"/>
      <c r="H33" s="795"/>
      <c r="I33" s="796"/>
      <c r="J33" s="797" t="s">
        <v>108</v>
      </c>
      <c r="K33" s="796"/>
      <c r="L33" s="60"/>
      <c r="M33" s="28"/>
      <c r="N33" s="61"/>
      <c r="O33" s="62"/>
      <c r="P33" s="57"/>
      <c r="R33" s="22"/>
      <c r="S33" s="156"/>
      <c r="T33" s="167"/>
      <c r="U33" s="167"/>
      <c r="V33" s="167"/>
      <c r="W33" s="167"/>
      <c r="X33" s="166"/>
      <c r="Y33" s="166"/>
      <c r="Z33" s="166"/>
      <c r="AA33" s="166"/>
      <c r="AB33" s="166"/>
      <c r="AC33" s="167"/>
      <c r="AD33" s="167"/>
      <c r="AE33" s="167"/>
      <c r="AF33" s="167"/>
      <c r="AG33" s="167"/>
      <c r="AH33" s="167"/>
      <c r="AI33" s="167"/>
      <c r="AJ33" s="167"/>
      <c r="AK33" s="167"/>
      <c r="AL33" s="167"/>
      <c r="AM33" s="167"/>
      <c r="AN33" s="167"/>
      <c r="AO33" s="167"/>
      <c r="AP33" s="167"/>
      <c r="AQ33" s="167"/>
      <c r="AR33" s="167"/>
      <c r="AS33" s="167"/>
      <c r="AT33" s="167"/>
      <c r="AU33" s="167"/>
      <c r="AV33" s="167"/>
      <c r="AW33" s="167"/>
      <c r="AX33" s="167"/>
      <c r="AY33" s="167"/>
      <c r="AZ33" s="167"/>
      <c r="BA33" s="167"/>
      <c r="BB33" s="167"/>
      <c r="BC33" s="167"/>
      <c r="BD33" s="167"/>
      <c r="BE33" s="167"/>
      <c r="BF33" s="167"/>
      <c r="BG33" s="167"/>
      <c r="BH33" s="167"/>
      <c r="BI33" s="167"/>
      <c r="BJ33" s="167"/>
      <c r="BK33" s="167"/>
      <c r="BL33" s="167"/>
      <c r="BM33" s="167"/>
      <c r="BN33" s="167"/>
      <c r="BO33" s="167"/>
      <c r="BP33" s="167"/>
      <c r="BQ33" s="167"/>
      <c r="BR33" s="167"/>
      <c r="BS33" s="167"/>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row>
    <row r="34" spans="1:257" x14ac:dyDescent="0.3">
      <c r="A34" s="26" t="s">
        <v>109</v>
      </c>
      <c r="B34" s="190">
        <v>9000</v>
      </c>
      <c r="C34" s="185">
        <v>7200</v>
      </c>
      <c r="D34" s="185">
        <v>3500</v>
      </c>
      <c r="E34" s="185">
        <v>3400</v>
      </c>
      <c r="F34" s="185"/>
      <c r="G34" s="185"/>
      <c r="H34" s="185"/>
      <c r="I34" s="185"/>
      <c r="J34" s="184"/>
      <c r="K34" s="179"/>
      <c r="L34" s="63"/>
      <c r="M34" s="28" t="s">
        <v>110</v>
      </c>
      <c r="N34" s="61"/>
      <c r="O34" s="62"/>
      <c r="P34" s="57"/>
      <c r="R34" s="22"/>
      <c r="S34" s="156"/>
      <c r="T34" s="167"/>
      <c r="U34" s="167"/>
      <c r="V34" s="167"/>
      <c r="W34" s="167"/>
      <c r="X34" s="166"/>
      <c r="Y34" s="166"/>
      <c r="Z34" s="166"/>
      <c r="AA34" s="166"/>
      <c r="AB34" s="166"/>
      <c r="AC34" s="166"/>
      <c r="AD34" s="166"/>
      <c r="AE34" s="166"/>
      <c r="AF34" s="167"/>
      <c r="AG34" s="167"/>
      <c r="AH34" s="167"/>
      <c r="AI34" s="167"/>
      <c r="AJ34" s="167"/>
      <c r="AK34" s="167"/>
      <c r="AL34" s="167"/>
      <c r="AM34" s="167"/>
      <c r="AN34" s="167"/>
      <c r="AO34" s="167"/>
      <c r="AP34" s="167"/>
      <c r="AQ34" s="167"/>
      <c r="AR34" s="167"/>
      <c r="AS34" s="167"/>
      <c r="AT34" s="167"/>
      <c r="AU34" s="167"/>
      <c r="AV34" s="167"/>
      <c r="AW34" s="167"/>
      <c r="AX34" s="167" t="s">
        <v>346</v>
      </c>
      <c r="AY34" s="167" t="s">
        <v>347</v>
      </c>
      <c r="AZ34" s="167"/>
      <c r="BA34" s="167" t="s">
        <v>346</v>
      </c>
      <c r="BB34" s="167" t="s">
        <v>347</v>
      </c>
      <c r="BC34" s="167"/>
      <c r="BD34" s="167"/>
      <c r="BE34" s="167"/>
      <c r="BF34" s="167"/>
      <c r="BG34" s="167"/>
      <c r="BH34" s="167"/>
      <c r="BI34" s="167"/>
      <c r="BJ34" s="167"/>
      <c r="BK34" s="167"/>
      <c r="BL34" s="167"/>
      <c r="BM34" s="167"/>
      <c r="BN34" s="167"/>
      <c r="BO34" s="167"/>
      <c r="BP34" s="167"/>
      <c r="BQ34" s="167"/>
      <c r="BR34" s="167"/>
      <c r="BS34" s="167"/>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row>
    <row r="35" spans="1:257" x14ac:dyDescent="0.3">
      <c r="A35" s="26" t="s">
        <v>111</v>
      </c>
      <c r="B35" s="189">
        <v>100</v>
      </c>
      <c r="C35" s="186">
        <v>100</v>
      </c>
      <c r="D35" s="186">
        <v>100</v>
      </c>
      <c r="E35" s="186">
        <v>100</v>
      </c>
      <c r="F35" s="186">
        <v>7</v>
      </c>
      <c r="G35" s="186">
        <v>10</v>
      </c>
      <c r="H35" s="186"/>
      <c r="I35" s="186"/>
      <c r="J35" s="183">
        <v>20</v>
      </c>
      <c r="K35" s="180"/>
      <c r="L35" s="63"/>
      <c r="M35" s="28" t="s">
        <v>22</v>
      </c>
      <c r="N35" s="61"/>
      <c r="O35" s="62"/>
      <c r="P35" s="57"/>
      <c r="R35" s="22"/>
      <c r="S35" s="156"/>
      <c r="T35" s="167"/>
      <c r="U35" s="167"/>
      <c r="V35" s="167"/>
      <c r="W35" s="167"/>
      <c r="X35" s="166"/>
      <c r="Y35" s="166"/>
      <c r="Z35" s="166"/>
      <c r="AA35" s="166"/>
      <c r="AB35" s="166"/>
      <c r="AC35" s="166"/>
      <c r="AD35" s="166"/>
      <c r="AE35" s="166"/>
      <c r="AF35" s="167"/>
      <c r="AG35" s="167"/>
      <c r="AH35" s="167"/>
      <c r="AI35" s="167"/>
      <c r="AJ35" s="167"/>
      <c r="AK35" s="671">
        <v>0.5</v>
      </c>
      <c r="AL35" s="671">
        <v>0.25</v>
      </c>
      <c r="AM35" s="671">
        <v>0.25</v>
      </c>
      <c r="AN35" s="167"/>
      <c r="AO35" s="671">
        <v>0.5</v>
      </c>
      <c r="AP35" s="671">
        <v>0.25</v>
      </c>
      <c r="AQ35" s="671">
        <v>0.25</v>
      </c>
      <c r="AR35" s="671"/>
      <c r="AS35" s="671"/>
      <c r="AT35" s="671"/>
      <c r="AU35" s="167"/>
      <c r="AV35" s="167"/>
      <c r="AW35" s="167"/>
      <c r="AX35" s="167"/>
      <c r="AY35" s="167"/>
      <c r="AZ35" s="167"/>
      <c r="BA35" s="167"/>
      <c r="BB35" s="167"/>
      <c r="BC35" s="167"/>
      <c r="BD35" s="167"/>
      <c r="BE35" s="167"/>
      <c r="BF35" s="167"/>
      <c r="BG35" s="167"/>
      <c r="BH35" s="167"/>
      <c r="BI35" s="167"/>
      <c r="BJ35" s="167"/>
      <c r="BK35" s="167"/>
      <c r="BL35" s="167"/>
      <c r="BM35" s="167"/>
      <c r="BN35" s="167"/>
      <c r="BO35" s="167"/>
      <c r="BP35" s="167"/>
      <c r="BQ35" s="167"/>
      <c r="BR35" s="167"/>
      <c r="BS35" s="167"/>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row>
    <row r="36" spans="1:257" x14ac:dyDescent="0.3">
      <c r="A36" s="26" t="s">
        <v>112</v>
      </c>
      <c r="B36" s="188">
        <v>90</v>
      </c>
      <c r="C36" s="187">
        <v>82</v>
      </c>
      <c r="D36" s="187">
        <v>99</v>
      </c>
      <c r="E36" s="187">
        <v>165</v>
      </c>
      <c r="F36" s="187">
        <v>150</v>
      </c>
      <c r="G36" s="187">
        <v>200</v>
      </c>
      <c r="H36" s="187"/>
      <c r="I36" s="187"/>
      <c r="J36" s="182">
        <v>140</v>
      </c>
      <c r="K36" s="181"/>
      <c r="L36" s="63"/>
      <c r="M36" s="28" t="s">
        <v>113</v>
      </c>
      <c r="N36" s="61"/>
      <c r="P36" s="57"/>
      <c r="R36" s="22"/>
      <c r="S36" s="156"/>
      <c r="T36" s="167"/>
      <c r="U36" s="167"/>
      <c r="V36" s="167"/>
      <c r="W36" s="167"/>
      <c r="X36" s="166"/>
      <c r="Y36" s="166"/>
      <c r="Z36" s="166"/>
      <c r="AA36" s="166"/>
      <c r="AB36" s="166"/>
      <c r="AC36" s="166"/>
      <c r="AD36" s="166"/>
      <c r="AE36" s="166"/>
      <c r="AF36" s="167"/>
      <c r="AG36" s="167"/>
      <c r="AH36" s="167"/>
      <c r="AI36" s="167"/>
      <c r="AJ36" s="167"/>
      <c r="AK36" s="166"/>
      <c r="AL36" s="166"/>
      <c r="AM36" s="166"/>
      <c r="AN36" s="167"/>
      <c r="AO36" s="167"/>
      <c r="AP36" s="167"/>
      <c r="AQ36" s="167"/>
      <c r="AR36" s="167">
        <v>15</v>
      </c>
      <c r="AS36" s="671">
        <v>0.3125</v>
      </c>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BP36" s="167"/>
      <c r="BQ36" s="167"/>
      <c r="BR36" s="167"/>
      <c r="BS36" s="167"/>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row>
    <row r="37" spans="1:257" ht="15.6" x14ac:dyDescent="0.3">
      <c r="A37" s="64" t="s">
        <v>114</v>
      </c>
      <c r="B37" s="159">
        <v>67.5</v>
      </c>
      <c r="C37" s="160">
        <v>61.5</v>
      </c>
      <c r="D37" s="160">
        <v>99</v>
      </c>
      <c r="E37" s="160">
        <v>165</v>
      </c>
      <c r="F37" s="160">
        <v>150</v>
      </c>
      <c r="G37" s="160">
        <v>200</v>
      </c>
      <c r="H37" s="160">
        <v>0</v>
      </c>
      <c r="I37" s="160">
        <v>0</v>
      </c>
      <c r="J37" s="147"/>
      <c r="K37" s="147"/>
      <c r="L37" s="147"/>
      <c r="M37" s="65"/>
      <c r="N37" s="554">
        <v>2.6355421686746987</v>
      </c>
      <c r="O37" s="67" t="s">
        <v>64</v>
      </c>
      <c r="P37" s="68" t="s">
        <v>50</v>
      </c>
      <c r="Q37" s="95">
        <v>2.8</v>
      </c>
      <c r="R37" s="70" t="s">
        <v>115</v>
      </c>
      <c r="T37" s="674">
        <v>2.4</v>
      </c>
      <c r="U37" s="167"/>
      <c r="V37" s="167"/>
      <c r="W37" s="167"/>
      <c r="X37" s="166"/>
      <c r="Y37" s="166"/>
      <c r="Z37" s="166"/>
      <c r="AA37" s="166"/>
      <c r="AB37" s="166"/>
      <c r="AC37" s="166"/>
      <c r="AD37" s="166">
        <v>1</v>
      </c>
      <c r="AE37" s="675">
        <v>3</v>
      </c>
      <c r="AF37" s="167"/>
      <c r="AG37" s="676" t="s">
        <v>285</v>
      </c>
      <c r="AH37" s="167"/>
      <c r="AI37" s="167"/>
      <c r="AJ37" s="167"/>
      <c r="AK37" s="167">
        <v>0</v>
      </c>
      <c r="AL37" s="167">
        <v>1</v>
      </c>
      <c r="AM37" s="167">
        <v>2</v>
      </c>
      <c r="AN37" s="167"/>
      <c r="AO37" s="672">
        <v>0</v>
      </c>
      <c r="AP37" s="672">
        <v>2</v>
      </c>
      <c r="AQ37" s="672">
        <v>8</v>
      </c>
      <c r="AR37" s="167"/>
      <c r="AS37" s="167"/>
      <c r="AT37" s="167"/>
      <c r="AU37" s="167">
        <v>6</v>
      </c>
      <c r="AV37" s="167">
        <v>2</v>
      </c>
      <c r="AW37" s="167"/>
      <c r="AX37" s="676">
        <v>6</v>
      </c>
      <c r="AY37" s="167">
        <v>3</v>
      </c>
      <c r="AZ37" s="167"/>
      <c r="BA37" s="167">
        <v>2</v>
      </c>
      <c r="BB37" s="167">
        <v>1</v>
      </c>
      <c r="BC37" s="167"/>
      <c r="BD37" s="167"/>
      <c r="BE37" s="167"/>
      <c r="BF37" s="167"/>
      <c r="BG37" s="167"/>
      <c r="BH37" s="167"/>
      <c r="BI37" s="167"/>
      <c r="BJ37" s="167"/>
      <c r="BK37" s="167"/>
      <c r="BL37" s="167"/>
      <c r="BM37" s="167"/>
      <c r="BN37" s="167"/>
      <c r="BO37" s="167"/>
      <c r="BP37" s="167"/>
      <c r="BQ37" s="167"/>
      <c r="BR37" s="167"/>
      <c r="BS37" s="167"/>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row>
    <row r="38" spans="1:257" ht="8.1" customHeight="1" x14ac:dyDescent="0.3">
      <c r="A38" s="23"/>
      <c r="B38" s="23"/>
      <c r="C38" s="24"/>
      <c r="D38" s="24"/>
      <c r="E38" s="24"/>
      <c r="F38" s="24"/>
      <c r="G38" s="24"/>
      <c r="H38" s="24"/>
      <c r="I38" s="24"/>
      <c r="J38" s="24"/>
      <c r="K38" s="24"/>
      <c r="L38" s="71"/>
      <c r="M38" s="72"/>
      <c r="N38" s="73"/>
      <c r="O38" s="74"/>
      <c r="P38" s="75"/>
      <c r="Q38" s="24"/>
      <c r="R38" s="25"/>
      <c r="T38" s="167"/>
      <c r="U38" s="167"/>
      <c r="V38" s="167"/>
      <c r="W38" s="167"/>
      <c r="X38" s="166"/>
      <c r="Y38" s="166"/>
      <c r="Z38" s="166"/>
      <c r="AA38" s="166"/>
      <c r="AB38" s="166"/>
      <c r="AC38" s="166"/>
      <c r="AD38" s="166"/>
      <c r="AE38" s="166"/>
      <c r="AF38" s="167"/>
      <c r="AG38" s="167"/>
      <c r="AH38" s="167"/>
      <c r="AI38" s="167"/>
      <c r="AJ38" s="167"/>
      <c r="AK38" s="167"/>
      <c r="AL38" s="167"/>
      <c r="AM38" s="167"/>
      <c r="AN38" s="167"/>
      <c r="AO38" s="167"/>
      <c r="AP38" s="167"/>
      <c r="AQ38" s="167"/>
      <c r="AR38" s="167"/>
      <c r="AS38" s="167"/>
      <c r="AT38" s="167"/>
      <c r="AU38" s="167"/>
      <c r="AV38" s="167"/>
      <c r="AW38" s="167"/>
      <c r="AX38" s="167"/>
      <c r="AY38" s="167"/>
      <c r="AZ38" s="167"/>
      <c r="BA38" s="167"/>
      <c r="BB38" s="167"/>
      <c r="BC38" s="167"/>
      <c r="BD38" s="167"/>
      <c r="BE38" s="167"/>
      <c r="BF38" s="167"/>
      <c r="BG38" s="167"/>
      <c r="BH38" s="167"/>
      <c r="BI38" s="167"/>
      <c r="BJ38" s="167"/>
      <c r="BK38" s="167"/>
      <c r="BL38" s="167"/>
      <c r="BM38" s="167"/>
      <c r="BN38" s="167"/>
      <c r="BO38" s="167"/>
      <c r="BP38" s="167"/>
      <c r="BQ38" s="167"/>
      <c r="BR38" s="167"/>
      <c r="BS38" s="167"/>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row>
    <row r="39" spans="1:257" x14ac:dyDescent="0.3">
      <c r="A39" s="26" t="s">
        <v>53</v>
      </c>
      <c r="B39" s="76">
        <v>4</v>
      </c>
      <c r="C39" s="36" t="s">
        <v>107</v>
      </c>
      <c r="D39" s="3"/>
      <c r="E39" s="3"/>
      <c r="F39" s="3"/>
      <c r="G39" s="3"/>
      <c r="H39" s="3"/>
      <c r="I39" s="3"/>
      <c r="J39" s="77">
        <v>1</v>
      </c>
      <c r="K39" s="78" t="s">
        <v>108</v>
      </c>
      <c r="L39" s="63"/>
      <c r="M39" s="28"/>
      <c r="N39" s="58"/>
      <c r="O39" s="62"/>
      <c r="P39" s="57"/>
      <c r="R39" s="22"/>
      <c r="T39" s="167"/>
      <c r="U39" s="167"/>
      <c r="V39" s="167"/>
      <c r="W39" s="167"/>
      <c r="X39" s="166"/>
      <c r="Y39" s="166"/>
      <c r="Z39" s="166"/>
      <c r="AA39" s="166"/>
      <c r="AB39" s="166"/>
      <c r="AC39" s="166"/>
      <c r="AD39" s="166"/>
      <c r="AE39" s="166"/>
      <c r="AF39" s="167"/>
      <c r="AG39" s="167"/>
      <c r="AH39" s="167"/>
      <c r="AI39" s="167"/>
      <c r="AJ39" s="167"/>
      <c r="AK39" s="167"/>
      <c r="AL39" s="167"/>
      <c r="AM39" s="167"/>
      <c r="AN39" s="167"/>
      <c r="AO39" s="167"/>
      <c r="AP39" s="167"/>
      <c r="AQ39" s="167"/>
      <c r="AR39" s="167"/>
      <c r="AS39" s="167"/>
      <c r="AT39" s="167"/>
      <c r="AU39" s="167"/>
      <c r="AV39" s="167"/>
      <c r="AW39" s="167"/>
      <c r="AX39" s="167"/>
      <c r="AY39" s="167"/>
      <c r="AZ39" s="167"/>
      <c r="BA39" s="167"/>
      <c r="BB39" s="167"/>
      <c r="BC39" s="167"/>
      <c r="BD39" s="167"/>
      <c r="BE39" s="167"/>
      <c r="BF39" s="167"/>
      <c r="BG39" s="167"/>
      <c r="BH39" s="167"/>
      <c r="BI39" s="167"/>
      <c r="BJ39" s="167"/>
      <c r="BK39" s="167"/>
      <c r="BL39" s="167"/>
      <c r="BM39" s="167"/>
      <c r="BN39" s="167"/>
      <c r="BO39" s="167"/>
      <c r="BP39" s="167"/>
      <c r="BQ39" s="167"/>
      <c r="BR39" s="167"/>
      <c r="BS39" s="167"/>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row>
    <row r="40" spans="1:257" x14ac:dyDescent="0.3">
      <c r="A40" s="79" t="s">
        <v>62</v>
      </c>
      <c r="B40" s="191">
        <v>264</v>
      </c>
      <c r="C40" s="192">
        <v>300</v>
      </c>
      <c r="D40" s="192">
        <v>325</v>
      </c>
      <c r="E40" s="192">
        <v>850</v>
      </c>
      <c r="F40" s="193">
        <v>40</v>
      </c>
      <c r="G40" s="193">
        <v>60</v>
      </c>
      <c r="H40" s="193"/>
      <c r="I40" s="193"/>
      <c r="J40" s="194">
        <v>200</v>
      </c>
      <c r="K40" s="195"/>
      <c r="L40" s="63"/>
      <c r="M40" s="80" t="s">
        <v>110</v>
      </c>
      <c r="N40" s="58"/>
      <c r="O40" s="62"/>
      <c r="R40" s="22"/>
      <c r="T40" s="167"/>
      <c r="U40" s="167"/>
      <c r="V40" s="167"/>
      <c r="W40" s="167"/>
      <c r="X40" s="166"/>
      <c r="Y40" s="166"/>
      <c r="Z40" s="166"/>
      <c r="AA40" s="166"/>
      <c r="AB40" s="166"/>
      <c r="AC40" s="166"/>
      <c r="AD40" s="166"/>
      <c r="AE40" s="166"/>
      <c r="AF40" s="167"/>
      <c r="AG40" s="167"/>
      <c r="AH40" s="167"/>
      <c r="AI40" s="167"/>
      <c r="AJ40" s="167"/>
      <c r="AK40" s="167"/>
      <c r="AL40" s="167"/>
      <c r="AM40" s="167"/>
      <c r="AN40" s="167"/>
      <c r="AO40" s="167"/>
      <c r="AP40" s="167"/>
      <c r="AQ40" s="167"/>
      <c r="AR40" s="167"/>
      <c r="AS40" s="167"/>
      <c r="AT40" s="167"/>
      <c r="AU40" s="167"/>
      <c r="AV40" s="167"/>
      <c r="AW40" s="167"/>
      <c r="AX40" s="167"/>
      <c r="AY40" s="167"/>
      <c r="AZ40" s="167"/>
      <c r="BA40" s="167"/>
      <c r="BB40" s="167"/>
      <c r="BC40" s="167"/>
      <c r="BD40" s="167"/>
      <c r="BE40" s="167"/>
      <c r="BF40" s="167"/>
      <c r="BG40" s="167"/>
      <c r="BH40" s="167"/>
      <c r="BI40" s="167"/>
      <c r="BJ40" s="167"/>
      <c r="BK40" s="167"/>
      <c r="BL40" s="167"/>
      <c r="BM40" s="167"/>
      <c r="BN40" s="167"/>
      <c r="BO40" s="167"/>
      <c r="BP40" s="167"/>
      <c r="BQ40" s="167"/>
      <c r="BR40" s="167"/>
      <c r="BS40" s="167"/>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row>
    <row r="41" spans="1:257" x14ac:dyDescent="0.3">
      <c r="A41" s="81" t="s">
        <v>116</v>
      </c>
      <c r="B41" s="155"/>
      <c r="C41" s="155"/>
      <c r="D41" s="155"/>
      <c r="E41" s="155"/>
      <c r="F41" s="155"/>
      <c r="G41" s="155"/>
      <c r="H41" s="155"/>
      <c r="I41" s="155"/>
      <c r="J41" s="155"/>
      <c r="K41" s="146"/>
      <c r="L41" s="146"/>
      <c r="M41" s="3"/>
      <c r="N41" s="58"/>
      <c r="O41" s="62"/>
      <c r="Q41" s="2"/>
      <c r="R41" s="22"/>
      <c r="T41" s="167"/>
      <c r="U41" s="167"/>
      <c r="V41" s="167"/>
      <c r="W41" s="167"/>
      <c r="X41" s="166"/>
      <c r="Y41" s="166"/>
      <c r="Z41" s="166"/>
      <c r="AA41" s="166"/>
      <c r="AB41" s="166"/>
      <c r="AC41" s="166"/>
      <c r="AD41" s="166"/>
      <c r="AE41" s="166"/>
      <c r="AF41" s="167"/>
      <c r="AG41" s="167"/>
      <c r="AH41" s="167"/>
      <c r="AI41" s="167"/>
      <c r="AJ41" s="167"/>
      <c r="AK41" s="167"/>
      <c r="AL41" s="167"/>
      <c r="AM41" s="167"/>
      <c r="AN41" s="167"/>
      <c r="AO41" s="167"/>
      <c r="AP41" s="167"/>
      <c r="AQ41" s="167"/>
      <c r="AR41" s="167"/>
      <c r="AS41" s="167"/>
      <c r="AT41" s="167"/>
      <c r="AU41" s="167"/>
      <c r="AV41" s="167"/>
      <c r="AW41" s="167"/>
      <c r="AX41" s="167"/>
      <c r="AY41" s="167"/>
      <c r="AZ41" s="167"/>
      <c r="BA41" s="167"/>
      <c r="BB41" s="167"/>
      <c r="BC41" s="167"/>
      <c r="BD41" s="167"/>
      <c r="BE41" s="167"/>
      <c r="BF41" s="167"/>
      <c r="BG41" s="167"/>
      <c r="BH41" s="167"/>
      <c r="BI41" s="167"/>
      <c r="BJ41" s="167"/>
      <c r="BK41" s="167"/>
      <c r="BL41" s="167"/>
      <c r="BM41" s="167"/>
      <c r="BN41" s="167"/>
      <c r="BO41" s="167"/>
      <c r="BP41" s="167"/>
      <c r="BQ41" s="167"/>
      <c r="BR41" s="167"/>
      <c r="BS41" s="167"/>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row>
    <row r="42" spans="1:257" x14ac:dyDescent="0.3">
      <c r="A42" s="26" t="s">
        <v>117</v>
      </c>
      <c r="B42" s="145"/>
      <c r="C42" s="146"/>
      <c r="D42" s="146"/>
      <c r="E42" s="146"/>
      <c r="F42" s="146"/>
      <c r="G42" s="146"/>
      <c r="H42" s="146"/>
      <c r="I42" s="146"/>
      <c r="J42" s="146"/>
      <c r="K42" s="146"/>
      <c r="L42" s="146"/>
      <c r="M42" s="3"/>
      <c r="N42" s="551">
        <v>459.75</v>
      </c>
      <c r="O42" s="67" t="s">
        <v>118</v>
      </c>
      <c r="P42" s="68" t="s">
        <v>55</v>
      </c>
      <c r="Q42" s="173">
        <v>475</v>
      </c>
      <c r="R42" s="70" t="s">
        <v>119</v>
      </c>
      <c r="T42" s="167">
        <v>550</v>
      </c>
      <c r="U42" s="167"/>
      <c r="V42" s="167"/>
      <c r="W42" s="167"/>
      <c r="X42" s="166"/>
      <c r="Y42" s="166"/>
      <c r="Z42" s="166"/>
      <c r="AA42" s="166"/>
      <c r="AB42" s="166"/>
      <c r="AC42" s="166"/>
      <c r="AD42" s="166">
        <v>2</v>
      </c>
      <c r="AE42" s="166">
        <v>2</v>
      </c>
      <c r="AF42" s="167"/>
      <c r="AG42" s="167" t="s">
        <v>116</v>
      </c>
      <c r="AH42" s="167"/>
      <c r="AI42" s="167"/>
      <c r="AJ42" s="167"/>
      <c r="AK42" s="167">
        <v>0</v>
      </c>
      <c r="AL42" s="167">
        <v>1</v>
      </c>
      <c r="AM42" s="167">
        <v>2</v>
      </c>
      <c r="AN42" s="167"/>
      <c r="AO42" s="167">
        <v>0</v>
      </c>
      <c r="AP42" s="167">
        <v>1</v>
      </c>
      <c r="AQ42" s="167">
        <v>2</v>
      </c>
      <c r="AR42" s="167"/>
      <c r="AS42" s="167"/>
      <c r="AT42" s="167"/>
      <c r="AU42" s="167">
        <v>1</v>
      </c>
      <c r="AV42" s="167">
        <v>1</v>
      </c>
      <c r="AW42" s="167"/>
      <c r="AX42" s="167">
        <v>4</v>
      </c>
      <c r="AY42" s="167">
        <v>1</v>
      </c>
      <c r="AZ42" s="167"/>
      <c r="BA42" s="167">
        <v>2</v>
      </c>
      <c r="BB42" s="167">
        <v>1</v>
      </c>
      <c r="BC42" s="167"/>
      <c r="BD42" s="167"/>
      <c r="BE42" s="167"/>
      <c r="BF42" s="167"/>
      <c r="BG42" s="167"/>
      <c r="BH42" s="167"/>
      <c r="BI42" s="167"/>
      <c r="BJ42" s="167"/>
      <c r="BK42" s="167"/>
      <c r="BL42" s="167"/>
      <c r="BM42" s="167"/>
      <c r="BN42" s="167"/>
      <c r="BO42" s="167"/>
      <c r="BP42" s="167"/>
      <c r="BQ42" s="167"/>
      <c r="BR42" s="167"/>
      <c r="BS42" s="167"/>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row>
    <row r="43" spans="1:257" x14ac:dyDescent="0.3">
      <c r="A43" s="2" t="s">
        <v>120</v>
      </c>
      <c r="B43" s="145"/>
      <c r="C43" s="156"/>
      <c r="D43" s="156"/>
      <c r="E43" s="156"/>
      <c r="F43" s="156"/>
      <c r="G43" s="156"/>
      <c r="H43" s="156"/>
      <c r="I43" s="156"/>
      <c r="J43" s="156"/>
      <c r="K43" s="156"/>
      <c r="L43" s="156"/>
      <c r="N43" s="549">
        <v>12.283132530120483</v>
      </c>
      <c r="O43" s="67" t="s">
        <v>121</v>
      </c>
      <c r="P43" s="68" t="s">
        <v>50</v>
      </c>
      <c r="Q43" s="95">
        <v>15.5</v>
      </c>
      <c r="R43" s="70" t="s">
        <v>122</v>
      </c>
      <c r="T43" s="167">
        <v>13.4</v>
      </c>
      <c r="U43" s="167"/>
      <c r="V43" s="167"/>
      <c r="W43" s="167"/>
      <c r="X43" s="166"/>
      <c r="Y43" s="166"/>
      <c r="Z43" s="166"/>
      <c r="AA43" s="166"/>
      <c r="AB43" s="166"/>
      <c r="AC43" s="166"/>
      <c r="AD43" s="166">
        <v>0</v>
      </c>
      <c r="AE43" s="166">
        <v>0</v>
      </c>
      <c r="AF43" s="167"/>
      <c r="AG43" s="167" t="s">
        <v>116</v>
      </c>
      <c r="AH43" s="167"/>
      <c r="AI43" s="167"/>
      <c r="AJ43" s="167"/>
      <c r="AK43" s="167">
        <v>0</v>
      </c>
      <c r="AL43" s="167">
        <v>1</v>
      </c>
      <c r="AM43" s="167">
        <v>2</v>
      </c>
      <c r="AN43" s="167"/>
      <c r="AO43" s="167">
        <v>0</v>
      </c>
      <c r="AP43" s="167">
        <v>1</v>
      </c>
      <c r="AQ43" s="167">
        <v>5</v>
      </c>
      <c r="AR43" s="167"/>
      <c r="AS43" s="167"/>
      <c r="AT43" s="167"/>
      <c r="AU43" s="167">
        <v>1</v>
      </c>
      <c r="AV43" s="167">
        <v>1</v>
      </c>
      <c r="AW43" s="167"/>
      <c r="AX43" s="167">
        <v>4</v>
      </c>
      <c r="AY43" s="167">
        <v>1</v>
      </c>
      <c r="AZ43" s="167"/>
      <c r="BA43" s="167">
        <v>2</v>
      </c>
      <c r="BB43" s="167">
        <v>1</v>
      </c>
      <c r="BC43" s="167"/>
      <c r="BD43" s="167"/>
      <c r="BE43" s="167"/>
      <c r="BF43" s="167"/>
      <c r="BG43" s="167"/>
      <c r="BH43" s="167"/>
      <c r="BI43" s="167"/>
      <c r="BJ43" s="167"/>
      <c r="BK43" s="167"/>
      <c r="BL43" s="167"/>
      <c r="BM43" s="167"/>
      <c r="BN43" s="167"/>
      <c r="BO43" s="167"/>
      <c r="BP43" s="167"/>
      <c r="BQ43" s="167"/>
      <c r="BR43" s="167"/>
      <c r="BS43" s="167"/>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row>
    <row r="44" spans="1:257" ht="8.1" customHeight="1" x14ac:dyDescent="0.3">
      <c r="A44" s="82"/>
      <c r="B44" s="157"/>
      <c r="C44" s="158"/>
      <c r="D44" s="158"/>
      <c r="E44" s="158"/>
      <c r="F44" s="158"/>
      <c r="G44" s="158"/>
      <c r="H44" s="158"/>
      <c r="I44" s="158"/>
      <c r="J44" s="158"/>
      <c r="K44" s="158"/>
      <c r="L44" s="158"/>
      <c r="M44" s="83"/>
      <c r="N44" s="84"/>
      <c r="O44" s="85"/>
      <c r="P44" s="86"/>
      <c r="Q44" s="83"/>
      <c r="R44" s="87"/>
      <c r="T44" s="167"/>
      <c r="U44" s="166"/>
      <c r="V44" s="166"/>
      <c r="W44" s="166"/>
      <c r="X44" s="166"/>
      <c r="Y44" s="166"/>
      <c r="Z44" s="166"/>
      <c r="AA44" s="166"/>
      <c r="AB44" s="166"/>
      <c r="AC44" s="166"/>
      <c r="AD44" s="166"/>
      <c r="AE44" s="166"/>
      <c r="AF44" s="167"/>
      <c r="AG44" s="167"/>
      <c r="AH44" s="167"/>
      <c r="AI44" s="167"/>
      <c r="AJ44" s="167"/>
      <c r="AK44" s="167"/>
      <c r="AL44" s="167"/>
      <c r="AM44" s="167"/>
      <c r="AN44" s="167"/>
      <c r="AO44" s="167"/>
      <c r="AP44" s="167"/>
      <c r="AQ44" s="167"/>
      <c r="AR44" s="167"/>
      <c r="AS44" s="167"/>
      <c r="AT44" s="167"/>
      <c r="AU44" s="167"/>
      <c r="AV44" s="167"/>
      <c r="AW44" s="167"/>
      <c r="AX44" s="167"/>
      <c r="AY44" s="167"/>
      <c r="AZ44" s="167"/>
      <c r="BA44" s="167"/>
      <c r="BB44" s="167"/>
      <c r="BC44" s="167"/>
      <c r="BD44" s="167"/>
      <c r="BE44" s="167"/>
      <c r="BF44" s="167"/>
      <c r="BG44" s="167"/>
      <c r="BH44" s="167"/>
      <c r="BI44" s="167"/>
      <c r="BJ44" s="167"/>
      <c r="BK44" s="167"/>
      <c r="BL44" s="167"/>
      <c r="BM44" s="167"/>
      <c r="BN44" s="167"/>
      <c r="BO44" s="167"/>
      <c r="BP44" s="167"/>
      <c r="BQ44" s="167"/>
      <c r="BR44" s="167"/>
      <c r="BS44" s="167"/>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row>
    <row r="45" spans="1:257" ht="8.1" customHeight="1" x14ac:dyDescent="0.3">
      <c r="A45" s="12"/>
      <c r="B45" s="12"/>
      <c r="C45" s="16"/>
      <c r="D45" s="16"/>
      <c r="E45" s="16"/>
      <c r="F45" s="16"/>
      <c r="G45" s="16"/>
      <c r="H45" s="16"/>
      <c r="I45" s="16"/>
      <c r="J45" s="16"/>
      <c r="K45" s="16"/>
      <c r="L45" s="16"/>
      <c r="M45" s="16"/>
      <c r="N45" s="51"/>
      <c r="O45" s="88"/>
      <c r="P45" s="53"/>
      <c r="Q45" s="16"/>
      <c r="R45" s="17"/>
      <c r="T45" s="167"/>
      <c r="U45" s="166"/>
      <c r="V45" s="166"/>
      <c r="W45" s="166"/>
      <c r="X45" s="166"/>
      <c r="Y45" s="166"/>
      <c r="Z45" s="166"/>
      <c r="AA45" s="166"/>
      <c r="AB45" s="166"/>
      <c r="AC45" s="166"/>
      <c r="AD45" s="166"/>
      <c r="AE45" s="166"/>
      <c r="AF45" s="167"/>
      <c r="AG45" s="167"/>
      <c r="AH45" s="167"/>
      <c r="AI45" s="167"/>
      <c r="AJ45" s="167"/>
      <c r="AK45" s="167"/>
      <c r="AL45" s="167"/>
      <c r="AM45" s="167"/>
      <c r="AN45" s="167"/>
      <c r="AO45" s="167"/>
      <c r="AP45" s="167"/>
      <c r="AQ45" s="167"/>
      <c r="AR45" s="167"/>
      <c r="AS45" s="167"/>
      <c r="AT45" s="167"/>
      <c r="AU45" s="167"/>
      <c r="AV45" s="167"/>
      <c r="AW45" s="167"/>
      <c r="AX45" s="167"/>
      <c r="AY45" s="167"/>
      <c r="AZ45" s="167"/>
      <c r="BA45" s="167"/>
      <c r="BB45" s="167"/>
      <c r="BC45" s="167"/>
      <c r="BD45" s="167"/>
      <c r="BE45" s="167"/>
      <c r="BF45" s="167"/>
      <c r="BG45" s="167"/>
      <c r="BH45" s="167"/>
      <c r="BI45" s="167"/>
      <c r="BJ45" s="167"/>
      <c r="BK45" s="167"/>
      <c r="BL45" s="167"/>
      <c r="BM45" s="167"/>
      <c r="BN45" s="167"/>
      <c r="BO45" s="167"/>
      <c r="BP45" s="167"/>
      <c r="BQ45" s="167"/>
      <c r="BR45" s="167"/>
      <c r="BS45" s="167"/>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row>
    <row r="46" spans="1:257" ht="15.6" x14ac:dyDescent="0.3">
      <c r="A46" s="18" t="s">
        <v>58</v>
      </c>
      <c r="B46" s="19"/>
      <c r="C46" s="20"/>
      <c r="D46" s="20"/>
      <c r="E46" s="20"/>
      <c r="F46" s="20"/>
      <c r="G46" s="20"/>
      <c r="H46" s="20"/>
      <c r="I46" s="20"/>
      <c r="J46" s="20"/>
      <c r="K46" s="20"/>
      <c r="L46" s="20"/>
      <c r="M46" s="20"/>
      <c r="N46" s="55"/>
      <c r="O46" s="89"/>
      <c r="P46" s="57"/>
      <c r="R46" s="22"/>
      <c r="T46" s="167"/>
      <c r="U46" s="677"/>
      <c r="V46" s="166"/>
      <c r="W46" s="166"/>
      <c r="X46" s="166"/>
      <c r="Y46" s="166"/>
      <c r="Z46" s="166"/>
      <c r="AA46" s="166"/>
      <c r="AB46" s="166"/>
      <c r="AC46" s="166"/>
      <c r="AD46" s="166"/>
      <c r="AE46" s="166"/>
      <c r="AF46" s="167"/>
      <c r="AG46" s="167"/>
      <c r="AH46" s="167"/>
      <c r="AI46" s="167"/>
      <c r="AJ46" s="167"/>
      <c r="AK46" s="167"/>
      <c r="AL46" s="167"/>
      <c r="AM46" s="167"/>
      <c r="AN46" s="167"/>
      <c r="AO46" s="167"/>
      <c r="AP46" s="167"/>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7"/>
      <c r="BP46" s="167"/>
      <c r="BQ46" s="167"/>
      <c r="BR46" s="167"/>
      <c r="BS46" s="167"/>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row>
    <row r="47" spans="1:257" ht="8.1" customHeight="1" x14ac:dyDescent="0.3">
      <c r="A47" s="26"/>
      <c r="B47" s="26"/>
      <c r="C47" s="3"/>
      <c r="D47" s="3"/>
      <c r="E47" s="3"/>
      <c r="F47" s="3"/>
      <c r="G47" s="3"/>
      <c r="H47" s="3"/>
      <c r="I47" s="3"/>
      <c r="J47" s="3"/>
      <c r="K47" s="3"/>
      <c r="L47" s="3"/>
      <c r="M47" s="3"/>
      <c r="N47" s="58"/>
      <c r="O47" s="62"/>
      <c r="P47" s="57"/>
      <c r="R47" s="22"/>
      <c r="T47" s="167"/>
      <c r="U47" s="166"/>
      <c r="V47" s="166"/>
      <c r="W47" s="166"/>
      <c r="X47" s="166"/>
      <c r="Y47" s="166"/>
      <c r="Z47" s="166"/>
      <c r="AA47" s="166"/>
      <c r="AB47" s="166"/>
      <c r="AC47" s="166"/>
      <c r="AD47" s="166"/>
      <c r="AE47" s="166"/>
      <c r="AF47" s="167"/>
      <c r="AG47" s="167"/>
      <c r="AH47" s="167"/>
      <c r="AI47" s="167"/>
      <c r="AJ47" s="167"/>
      <c r="AK47" s="167"/>
      <c r="AL47" s="167"/>
      <c r="AM47" s="167"/>
      <c r="AN47" s="167"/>
      <c r="AO47" s="167"/>
      <c r="AP47" s="167"/>
      <c r="AQ47" s="167"/>
      <c r="AR47" s="167"/>
      <c r="AS47" s="167"/>
      <c r="AT47" s="167"/>
      <c r="AU47" s="167"/>
      <c r="AV47" s="167"/>
      <c r="AW47" s="167"/>
      <c r="AX47" s="167"/>
      <c r="AY47" s="167"/>
      <c r="AZ47" s="167"/>
      <c r="BA47" s="167"/>
      <c r="BB47" s="167"/>
      <c r="BC47" s="167"/>
      <c r="BD47" s="167"/>
      <c r="BE47" s="167"/>
      <c r="BF47" s="167"/>
      <c r="BG47" s="167"/>
      <c r="BH47" s="167"/>
      <c r="BI47" s="167"/>
      <c r="BJ47" s="167"/>
      <c r="BK47" s="167"/>
      <c r="BL47" s="167"/>
      <c r="BM47" s="167"/>
      <c r="BN47" s="167"/>
      <c r="BO47" s="167"/>
      <c r="BP47" s="167"/>
      <c r="BQ47" s="167"/>
      <c r="BR47" s="167"/>
      <c r="BS47" s="167"/>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row>
    <row r="48" spans="1:257" ht="15" customHeight="1" x14ac:dyDescent="0.3">
      <c r="A48" s="64" t="s">
        <v>235</v>
      </c>
      <c r="B48" s="26"/>
      <c r="C48" s="3"/>
      <c r="D48" s="3"/>
      <c r="E48" s="3"/>
      <c r="F48" s="3"/>
      <c r="G48" s="3"/>
      <c r="H48" s="3"/>
      <c r="I48" s="3"/>
      <c r="J48" s="3"/>
      <c r="K48" s="3"/>
      <c r="L48" s="3"/>
      <c r="M48" s="3"/>
      <c r="N48" s="58"/>
      <c r="O48" s="62"/>
      <c r="P48" s="419"/>
      <c r="R48" s="22"/>
      <c r="T48" s="167"/>
      <c r="U48" s="166"/>
      <c r="V48" s="166"/>
      <c r="W48" s="166"/>
      <c r="X48" s="166"/>
      <c r="Y48" s="166"/>
      <c r="Z48" s="166"/>
      <c r="AA48" s="166"/>
      <c r="AB48" s="166"/>
      <c r="AC48" s="166"/>
      <c r="AD48" s="166"/>
      <c r="AE48" s="166"/>
      <c r="AF48" s="167"/>
      <c r="AG48" s="167"/>
      <c r="AH48" s="167"/>
      <c r="AI48" s="167"/>
      <c r="AJ48" s="167"/>
      <c r="AK48" s="167"/>
      <c r="AL48" s="167"/>
      <c r="AM48" s="167"/>
      <c r="AN48" s="167"/>
      <c r="AO48" s="167"/>
      <c r="AP48" s="167"/>
      <c r="AQ48" s="167"/>
      <c r="AR48" s="167"/>
      <c r="AS48" s="167"/>
      <c r="AT48" s="167"/>
      <c r="AU48" s="167"/>
      <c r="AV48" s="167"/>
      <c r="AW48" s="167"/>
      <c r="AX48" s="167"/>
      <c r="AY48" s="167"/>
      <c r="AZ48" s="167"/>
      <c r="BA48" s="167"/>
      <c r="BB48" s="167"/>
      <c r="BC48" s="167"/>
      <c r="BD48" s="167"/>
      <c r="BE48" s="167"/>
      <c r="BF48" s="167"/>
      <c r="BG48" s="167"/>
      <c r="BH48" s="167"/>
      <c r="BI48" s="167"/>
      <c r="BJ48" s="167"/>
      <c r="BK48" s="167"/>
      <c r="BL48" s="167"/>
      <c r="BM48" s="167"/>
      <c r="BN48" s="167"/>
      <c r="BO48" s="167"/>
      <c r="BP48" s="167"/>
      <c r="BQ48" s="167"/>
      <c r="BR48" s="167"/>
      <c r="BS48" s="167"/>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row>
    <row r="49" spans="1:257" ht="15" customHeight="1" x14ac:dyDescent="0.3">
      <c r="A49" s="92" t="s">
        <v>233</v>
      </c>
      <c r="B49" s="26"/>
      <c r="C49" s="3"/>
      <c r="D49" s="3"/>
      <c r="E49" s="3"/>
      <c r="F49" s="3"/>
      <c r="G49" s="3"/>
      <c r="H49" s="3"/>
      <c r="I49" s="3"/>
      <c r="J49" s="3"/>
      <c r="K49" s="3"/>
      <c r="L49" s="3"/>
      <c r="M49" s="3"/>
      <c r="N49" s="58"/>
      <c r="O49" s="62"/>
      <c r="P49" s="419"/>
      <c r="R49" s="22"/>
      <c r="T49" s="167"/>
      <c r="U49" s="166"/>
      <c r="V49" s="166"/>
      <c r="W49" s="166"/>
      <c r="X49" s="166"/>
      <c r="Y49" s="166"/>
      <c r="Z49" s="166"/>
      <c r="AA49" s="166"/>
      <c r="AB49" s="166"/>
      <c r="AC49" s="166"/>
      <c r="AD49" s="166"/>
      <c r="AE49" s="166"/>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row>
    <row r="50" spans="1:257" x14ac:dyDescent="0.3">
      <c r="A50" s="2" t="s">
        <v>123</v>
      </c>
      <c r="B50" s="813"/>
      <c r="C50" s="814"/>
      <c r="D50" s="814"/>
      <c r="E50" s="814"/>
      <c r="F50" s="814"/>
      <c r="G50" s="814"/>
      <c r="H50" s="814"/>
      <c r="I50" s="814"/>
      <c r="J50" s="815"/>
      <c r="N50" s="58"/>
      <c r="O50" s="62"/>
      <c r="Q50" s="2"/>
      <c r="R50" s="90"/>
      <c r="T50" s="167"/>
      <c r="U50" s="166"/>
      <c r="V50" s="166"/>
      <c r="W50" s="166"/>
      <c r="X50" s="166"/>
      <c r="Y50" s="166"/>
      <c r="Z50" s="166"/>
      <c r="AA50" s="166"/>
      <c r="AB50" s="166"/>
      <c r="AC50" s="166"/>
      <c r="AD50" s="166"/>
      <c r="AE50" s="166"/>
      <c r="AF50" s="167"/>
      <c r="AG50" s="167"/>
      <c r="AH50" s="167"/>
      <c r="AI50" s="167"/>
      <c r="AJ50" s="167"/>
      <c r="AK50" s="167"/>
      <c r="AL50" s="167"/>
      <c r="AM50" s="167"/>
      <c r="AN50" s="167"/>
      <c r="AO50" s="167"/>
      <c r="AP50" s="167"/>
      <c r="AQ50" s="167"/>
      <c r="AR50" s="167"/>
      <c r="AS50" s="167"/>
      <c r="AT50" s="167"/>
      <c r="AU50" s="167"/>
      <c r="AV50" s="167"/>
      <c r="AW50" s="167"/>
      <c r="AX50" s="167"/>
      <c r="AY50" s="167"/>
      <c r="AZ50" s="167"/>
      <c r="BA50" s="167"/>
      <c r="BB50" s="167"/>
      <c r="BC50" s="167"/>
      <c r="BD50" s="167"/>
      <c r="BE50" s="167"/>
      <c r="BF50" s="167"/>
      <c r="BG50" s="167"/>
      <c r="BH50" s="167"/>
      <c r="BI50" s="167"/>
      <c r="BJ50" s="167"/>
      <c r="BK50" s="167"/>
      <c r="BL50" s="167"/>
      <c r="BM50" s="167"/>
      <c r="BN50" s="167"/>
      <c r="BO50" s="167"/>
      <c r="BP50" s="167"/>
      <c r="BQ50" s="167"/>
      <c r="BR50" s="167"/>
      <c r="BS50" s="167"/>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row>
    <row r="51" spans="1:257" x14ac:dyDescent="0.3">
      <c r="A51" s="39" t="s">
        <v>109</v>
      </c>
      <c r="B51" s="191"/>
      <c r="C51" s="91" t="s">
        <v>56</v>
      </c>
      <c r="M51" s="92"/>
      <c r="N51" s="93"/>
      <c r="O51" s="62"/>
      <c r="P51" s="57"/>
      <c r="Q51" s="40"/>
      <c r="R51" s="90"/>
      <c r="T51" s="167"/>
      <c r="U51" s="166"/>
      <c r="V51" s="166"/>
      <c r="W51" s="166"/>
      <c r="X51" s="166"/>
      <c r="Y51" s="166"/>
      <c r="Z51" s="166"/>
      <c r="AA51" s="166"/>
      <c r="AB51" s="166"/>
      <c r="AC51" s="166"/>
      <c r="AD51" s="166"/>
      <c r="AE51" s="166"/>
      <c r="AF51" s="167"/>
      <c r="AG51" s="167"/>
      <c r="AH51" s="167"/>
      <c r="AI51" s="167"/>
      <c r="AJ51" s="167"/>
      <c r="AK51" s="167"/>
      <c r="AL51" s="167"/>
      <c r="AM51" s="167"/>
      <c r="AN51" s="167"/>
      <c r="AO51" s="167"/>
      <c r="AP51" s="167"/>
      <c r="AQ51" s="167"/>
      <c r="AR51" s="167"/>
      <c r="AS51" s="167"/>
      <c r="AT51" s="167"/>
      <c r="AU51" s="167"/>
      <c r="AV51" s="167"/>
      <c r="AW51" s="167"/>
      <c r="AX51" s="167"/>
      <c r="AY51" s="167"/>
      <c r="AZ51" s="167"/>
      <c r="BA51" s="167"/>
      <c r="BB51" s="167"/>
      <c r="BC51" s="167"/>
      <c r="BD51" s="167"/>
      <c r="BE51" s="167"/>
      <c r="BF51" s="167"/>
      <c r="BG51" s="167"/>
      <c r="BH51" s="167"/>
      <c r="BI51" s="167"/>
      <c r="BJ51" s="167"/>
      <c r="BK51" s="167"/>
      <c r="BL51" s="167"/>
      <c r="BM51" s="167"/>
      <c r="BN51" s="167"/>
      <c r="BO51" s="167"/>
      <c r="BP51" s="167"/>
      <c r="BQ51" s="167"/>
      <c r="BR51" s="167"/>
      <c r="BS51" s="167"/>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row>
    <row r="52" spans="1:257" x14ac:dyDescent="0.3">
      <c r="A52" s="26" t="s">
        <v>111</v>
      </c>
      <c r="B52" s="196"/>
      <c r="C52" s="91" t="s">
        <v>22</v>
      </c>
      <c r="D52" s="91"/>
      <c r="E52" s="91"/>
      <c r="F52" s="91"/>
      <c r="G52" s="91"/>
      <c r="H52" s="91"/>
      <c r="I52" s="91"/>
      <c r="J52" s="91"/>
      <c r="K52" s="91"/>
      <c r="L52" s="91"/>
      <c r="M52" s="91"/>
      <c r="N52" s="93"/>
      <c r="O52" s="62"/>
      <c r="P52" s="57"/>
      <c r="Q52" s="40"/>
      <c r="R52" s="90"/>
      <c r="T52" s="167"/>
      <c r="U52" s="166"/>
      <c r="V52" s="166"/>
      <c r="W52" s="166"/>
      <c r="X52" s="166"/>
      <c r="Y52" s="166"/>
      <c r="Z52" s="166"/>
      <c r="AA52" s="166"/>
      <c r="AB52" s="166"/>
      <c r="AC52" s="166"/>
      <c r="AD52" s="166"/>
      <c r="AE52" s="166"/>
      <c r="AF52" s="167"/>
      <c r="AG52" s="167"/>
      <c r="AH52" s="167"/>
      <c r="AI52" s="167"/>
      <c r="AJ52" s="167"/>
      <c r="AK52" s="167"/>
      <c r="AL52" s="167"/>
      <c r="AM52" s="167"/>
      <c r="AN52" s="167"/>
      <c r="AO52" s="167"/>
      <c r="AP52" s="167"/>
      <c r="AQ52" s="167"/>
      <c r="AR52" s="167"/>
      <c r="AS52" s="167"/>
      <c r="AT52" s="167"/>
      <c r="AU52" s="167"/>
      <c r="AV52" s="167"/>
      <c r="AW52" s="167"/>
      <c r="AX52" s="167"/>
      <c r="AY52" s="167"/>
      <c r="AZ52" s="167"/>
      <c r="BA52" s="167"/>
      <c r="BB52" s="167"/>
      <c r="BC52" s="167"/>
      <c r="BD52" s="167"/>
      <c r="BE52" s="167"/>
      <c r="BF52" s="167"/>
      <c r="BG52" s="167"/>
      <c r="BH52" s="167"/>
      <c r="BI52" s="167"/>
      <c r="BJ52" s="167"/>
      <c r="BK52" s="167"/>
      <c r="BL52" s="167"/>
      <c r="BM52" s="167"/>
      <c r="BN52" s="167"/>
      <c r="BO52" s="167"/>
      <c r="BP52" s="167"/>
      <c r="BQ52" s="167"/>
      <c r="BR52" s="167"/>
      <c r="BS52" s="167"/>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row>
    <row r="53" spans="1:257" x14ac:dyDescent="0.3">
      <c r="A53" s="26" t="s">
        <v>112</v>
      </c>
      <c r="B53" s="197"/>
      <c r="C53" s="28" t="s">
        <v>113</v>
      </c>
      <c r="D53" s="28"/>
      <c r="E53" s="28"/>
      <c r="F53" s="28"/>
      <c r="G53" s="28"/>
      <c r="H53" s="28"/>
      <c r="I53" s="28"/>
      <c r="J53" s="28"/>
      <c r="K53" s="28"/>
      <c r="L53" s="28"/>
      <c r="M53" s="28"/>
      <c r="N53" s="93"/>
      <c r="O53" s="62"/>
      <c r="P53" s="57"/>
      <c r="R53" s="22"/>
      <c r="T53" s="167"/>
      <c r="U53" s="166"/>
      <c r="V53" s="166"/>
      <c r="W53" s="166"/>
      <c r="X53" s="166"/>
      <c r="Y53" s="166"/>
      <c r="Z53" s="166"/>
      <c r="AA53" s="166"/>
      <c r="AB53" s="166"/>
      <c r="AC53" s="166"/>
      <c r="AD53" s="166"/>
      <c r="AE53" s="166"/>
      <c r="AF53" s="167"/>
      <c r="AG53" s="167"/>
      <c r="AH53" s="167"/>
      <c r="AI53" s="167"/>
      <c r="AJ53" s="167"/>
      <c r="AK53" s="167"/>
      <c r="AL53" s="167"/>
      <c r="AM53" s="167"/>
      <c r="AN53" s="167"/>
      <c r="AO53" s="167"/>
      <c r="AP53" s="167"/>
      <c r="AQ53" s="167"/>
      <c r="AR53" s="167"/>
      <c r="AS53" s="167"/>
      <c r="AT53" s="167"/>
      <c r="AU53" s="167"/>
      <c r="AV53" s="167"/>
      <c r="AW53" s="167"/>
      <c r="AX53" s="167"/>
      <c r="AY53" s="167"/>
      <c r="AZ53" s="167"/>
      <c r="BA53" s="167"/>
      <c r="BB53" s="167"/>
      <c r="BC53" s="167"/>
      <c r="BD53" s="167"/>
      <c r="BE53" s="167"/>
      <c r="BF53" s="167"/>
      <c r="BG53" s="167"/>
      <c r="BH53" s="167"/>
      <c r="BI53" s="167"/>
      <c r="BJ53" s="167"/>
      <c r="BK53" s="167"/>
      <c r="BL53" s="167"/>
      <c r="BM53" s="167"/>
      <c r="BN53" s="167"/>
      <c r="BO53" s="167"/>
      <c r="BP53" s="167"/>
      <c r="BQ53" s="167"/>
      <c r="BR53" s="167"/>
      <c r="BS53" s="167"/>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row>
    <row r="54" spans="1:257" x14ac:dyDescent="0.3">
      <c r="A54" s="26" t="s">
        <v>62</v>
      </c>
      <c r="B54" s="197"/>
      <c r="C54" s="28" t="s">
        <v>124</v>
      </c>
      <c r="D54" s="28"/>
      <c r="E54" s="28"/>
      <c r="F54" s="28"/>
      <c r="G54" s="28"/>
      <c r="H54" s="28"/>
      <c r="I54" s="28"/>
      <c r="J54" s="28"/>
      <c r="K54" s="28"/>
      <c r="L54" s="28"/>
      <c r="M54" s="28"/>
      <c r="N54" s="93"/>
      <c r="O54" s="62"/>
      <c r="P54" s="57"/>
      <c r="R54" s="22"/>
      <c r="T54" s="167"/>
      <c r="U54" s="166"/>
      <c r="V54" s="166"/>
      <c r="W54" s="166"/>
      <c r="X54" s="166"/>
      <c r="Y54" s="166"/>
      <c r="Z54" s="166"/>
      <c r="AA54" s="166"/>
      <c r="AB54" s="166"/>
      <c r="AC54" s="166"/>
      <c r="AD54" s="166"/>
      <c r="AE54" s="166"/>
      <c r="AF54" s="167"/>
      <c r="AG54" s="167"/>
      <c r="AH54" s="167"/>
      <c r="AI54" s="167"/>
      <c r="AJ54" s="167"/>
      <c r="AK54" s="167"/>
      <c r="AL54" s="167"/>
      <c r="AM54" s="167"/>
      <c r="AN54" s="167"/>
      <c r="AO54" s="167"/>
      <c r="AP54" s="167"/>
      <c r="AQ54" s="167"/>
      <c r="AR54" s="167"/>
      <c r="AS54" s="167"/>
      <c r="AT54" s="167"/>
      <c r="AU54" s="167"/>
      <c r="AV54" s="167"/>
      <c r="AW54" s="167"/>
      <c r="AX54" s="167"/>
      <c r="AY54" s="167"/>
      <c r="AZ54" s="167"/>
      <c r="BA54" s="167"/>
      <c r="BB54" s="167"/>
      <c r="BC54" s="167"/>
      <c r="BD54" s="167"/>
      <c r="BE54" s="167"/>
      <c r="BF54" s="167"/>
      <c r="BG54" s="167"/>
      <c r="BH54" s="167"/>
      <c r="BI54" s="167"/>
      <c r="BJ54" s="167"/>
      <c r="BK54" s="167"/>
      <c r="BL54" s="167"/>
      <c r="BM54" s="167"/>
      <c r="BN54" s="167"/>
      <c r="BO54" s="167"/>
      <c r="BP54" s="167"/>
      <c r="BQ54" s="167"/>
      <c r="BR54" s="167"/>
      <c r="BS54" s="167"/>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row>
    <row r="55" spans="1:257" x14ac:dyDescent="0.3">
      <c r="A55" s="26" t="s">
        <v>63</v>
      </c>
      <c r="B55" s="197"/>
      <c r="C55" s="28" t="s">
        <v>125</v>
      </c>
      <c r="D55" s="28"/>
      <c r="E55" s="28"/>
      <c r="F55" s="28"/>
      <c r="G55" s="28"/>
      <c r="H55" s="28"/>
      <c r="I55" s="28"/>
      <c r="J55" s="28"/>
      <c r="K55" s="28"/>
      <c r="L55" s="28"/>
      <c r="M55" s="28"/>
      <c r="N55" s="58"/>
      <c r="O55" s="59"/>
      <c r="P55" s="57"/>
      <c r="Q55" s="69"/>
      <c r="R55" s="70"/>
      <c r="T55" s="167"/>
      <c r="U55" s="166"/>
      <c r="V55" s="166"/>
      <c r="W55" s="166"/>
      <c r="X55" s="166"/>
      <c r="Y55" s="166"/>
      <c r="Z55" s="166"/>
      <c r="AA55" s="166"/>
      <c r="AB55" s="166"/>
      <c r="AC55" s="166"/>
      <c r="AD55" s="166"/>
      <c r="AE55" s="166"/>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67"/>
      <c r="BH55" s="167"/>
      <c r="BI55" s="167"/>
      <c r="BJ55" s="167"/>
      <c r="BK55" s="167"/>
      <c r="BL55" s="167"/>
      <c r="BM55" s="167"/>
      <c r="BN55" s="167"/>
      <c r="BO55" s="167"/>
      <c r="BP55" s="167"/>
      <c r="BQ55" s="167"/>
      <c r="BR55" s="167"/>
      <c r="BS55" s="167"/>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row>
    <row r="56" spans="1:257" x14ac:dyDescent="0.3">
      <c r="A56" s="26"/>
      <c r="B56" s="197"/>
      <c r="C56" s="28" t="s">
        <v>126</v>
      </c>
      <c r="D56" s="28"/>
      <c r="E56" s="28"/>
      <c r="F56" s="28"/>
      <c r="G56" s="28"/>
      <c r="H56" s="28"/>
      <c r="I56" s="28"/>
      <c r="J56" s="28"/>
      <c r="K56" s="28"/>
      <c r="L56" s="28"/>
      <c r="M56" s="28"/>
      <c r="N56" s="58"/>
      <c r="P56" s="57"/>
      <c r="R56" s="70"/>
      <c r="T56" s="167"/>
      <c r="U56" s="166"/>
      <c r="V56" s="166"/>
      <c r="W56" s="166"/>
      <c r="X56" s="166"/>
      <c r="Y56" s="166"/>
      <c r="Z56" s="166"/>
      <c r="AA56" s="166"/>
      <c r="AB56" s="166"/>
      <c r="AC56" s="166"/>
      <c r="AD56" s="166"/>
      <c r="AE56" s="166"/>
      <c r="AF56" s="167"/>
      <c r="AG56" s="167"/>
      <c r="AH56" s="167"/>
      <c r="AI56" s="167"/>
      <c r="AJ56" s="167"/>
      <c r="AK56" s="167"/>
      <c r="AL56" s="167"/>
      <c r="AM56" s="167"/>
      <c r="AN56" s="167"/>
      <c r="AO56" s="167"/>
      <c r="AP56" s="167"/>
      <c r="AQ56" s="167"/>
      <c r="AR56" s="167">
        <v>10</v>
      </c>
      <c r="AS56" s="671">
        <v>0.20833333333333334</v>
      </c>
      <c r="AT56" s="167"/>
      <c r="AU56" s="167"/>
      <c r="AV56" s="167"/>
      <c r="AW56" s="167"/>
      <c r="AX56" s="167"/>
      <c r="AY56" s="167"/>
      <c r="AZ56" s="167"/>
      <c r="BA56" s="167"/>
      <c r="BB56" s="167"/>
      <c r="BC56" s="167"/>
      <c r="BD56" s="167"/>
      <c r="BE56" s="167"/>
      <c r="BF56" s="167"/>
      <c r="BG56" s="167"/>
      <c r="BH56" s="167"/>
      <c r="BI56" s="167"/>
      <c r="BJ56" s="167"/>
      <c r="BK56" s="167"/>
      <c r="BL56" s="167"/>
      <c r="BM56" s="167"/>
      <c r="BN56" s="167"/>
      <c r="BO56" s="167"/>
      <c r="BP56" s="167"/>
      <c r="BQ56" s="167"/>
      <c r="BR56" s="167"/>
      <c r="BS56" s="167"/>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row>
    <row r="57" spans="1:257" ht="15.6" x14ac:dyDescent="0.3">
      <c r="A57" s="64" t="s">
        <v>127</v>
      </c>
      <c r="B57" s="94">
        <v>0</v>
      </c>
      <c r="C57" s="92"/>
      <c r="D57" s="92"/>
      <c r="E57" s="92"/>
      <c r="F57" s="92"/>
      <c r="G57" s="92"/>
      <c r="H57" s="92"/>
      <c r="I57" s="92"/>
      <c r="J57" s="92"/>
      <c r="K57" s="92"/>
      <c r="L57" s="92"/>
      <c r="M57" s="92"/>
      <c r="N57" s="554">
        <v>0</v>
      </c>
      <c r="O57" s="67" t="s">
        <v>64</v>
      </c>
      <c r="P57" s="68" t="s">
        <v>50</v>
      </c>
      <c r="Q57" s="95">
        <v>0</v>
      </c>
      <c r="R57" s="70" t="s">
        <v>64</v>
      </c>
      <c r="T57" s="167">
        <v>1.2</v>
      </c>
      <c r="U57" s="678">
        <v>90</v>
      </c>
      <c r="V57" s="166"/>
      <c r="W57" s="166"/>
      <c r="X57" s="166"/>
      <c r="Y57" s="166"/>
      <c r="Z57" s="166"/>
      <c r="AA57" s="679">
        <v>0</v>
      </c>
      <c r="AB57" s="166"/>
      <c r="AC57" s="166"/>
      <c r="AD57" s="679">
        <v>0</v>
      </c>
      <c r="AE57" s="675">
        <v>0</v>
      </c>
      <c r="AF57" s="167"/>
      <c r="AG57" s="676" t="s">
        <v>235</v>
      </c>
      <c r="AH57" s="167"/>
      <c r="AI57" s="167"/>
      <c r="AJ57" s="167"/>
      <c r="AK57" s="167">
        <v>0</v>
      </c>
      <c r="AL57" s="167">
        <v>1</v>
      </c>
      <c r="AM57" s="167">
        <v>2</v>
      </c>
      <c r="AN57" s="167"/>
      <c r="AO57" s="167">
        <v>0</v>
      </c>
      <c r="AP57" s="167">
        <v>2</v>
      </c>
      <c r="AQ57" s="167">
        <v>5</v>
      </c>
      <c r="AR57" s="167"/>
      <c r="AS57" s="167"/>
      <c r="AT57" s="167"/>
      <c r="AU57" s="167">
        <v>5</v>
      </c>
      <c r="AV57" s="167">
        <v>2</v>
      </c>
      <c r="AW57" s="167"/>
      <c r="AX57" s="676">
        <v>5</v>
      </c>
      <c r="AY57" s="167">
        <v>2</v>
      </c>
      <c r="AZ57" s="167"/>
      <c r="BA57" s="167">
        <v>2</v>
      </c>
      <c r="BB57" s="167">
        <v>1</v>
      </c>
      <c r="BC57" s="167"/>
      <c r="BD57" s="167"/>
      <c r="BE57" s="167"/>
      <c r="BF57" s="167"/>
      <c r="BG57" s="167"/>
      <c r="BH57" s="167"/>
      <c r="BI57" s="167"/>
      <c r="BJ57" s="167"/>
      <c r="BK57" s="167"/>
      <c r="BL57" s="167"/>
      <c r="BM57" s="167"/>
      <c r="BN57" s="167"/>
      <c r="BO57" s="167"/>
      <c r="BP57" s="167"/>
      <c r="BQ57" s="167"/>
      <c r="BR57" s="167"/>
      <c r="BS57" s="167"/>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row>
    <row r="58" spans="1:257" ht="15.6" x14ac:dyDescent="0.3">
      <c r="A58" s="64"/>
      <c r="B58" s="94"/>
      <c r="C58" s="92"/>
      <c r="D58" s="92"/>
      <c r="E58" s="92"/>
      <c r="F58" s="92"/>
      <c r="G58" s="92"/>
      <c r="H58" s="92"/>
      <c r="I58" s="92"/>
      <c r="J58" s="92"/>
      <c r="K58" s="92"/>
      <c r="L58" s="92"/>
      <c r="M58" s="92"/>
      <c r="N58" s="66"/>
      <c r="O58" s="67"/>
      <c r="P58" s="68"/>
      <c r="Q58" s="95"/>
      <c r="R58" s="70"/>
      <c r="T58" s="167"/>
      <c r="U58" s="166"/>
      <c r="V58" s="166"/>
      <c r="W58" s="166"/>
      <c r="X58" s="166"/>
      <c r="Y58" s="166"/>
      <c r="Z58" s="166"/>
      <c r="AA58" s="166"/>
      <c r="AB58" s="166"/>
      <c r="AC58" s="166"/>
      <c r="AD58" s="166"/>
      <c r="AE58" s="675"/>
      <c r="AF58" s="167"/>
      <c r="AG58" s="676"/>
      <c r="AH58" s="167"/>
      <c r="AI58" s="167"/>
      <c r="AJ58" s="167"/>
      <c r="AK58" s="167"/>
      <c r="AL58" s="167"/>
      <c r="AM58" s="167"/>
      <c r="AN58" s="167"/>
      <c r="AO58" s="167"/>
      <c r="AP58" s="167"/>
      <c r="AQ58" s="167"/>
      <c r="AR58" s="167"/>
      <c r="AS58" s="167"/>
      <c r="AT58" s="167"/>
      <c r="AU58" s="167"/>
      <c r="AV58" s="167"/>
      <c r="AW58" s="167"/>
      <c r="AX58" s="167"/>
      <c r="AY58" s="167"/>
      <c r="AZ58" s="167"/>
      <c r="BA58" s="167"/>
      <c r="BB58" s="167"/>
      <c r="BC58" s="167"/>
      <c r="BD58" s="167"/>
      <c r="BE58" s="167"/>
      <c r="BF58" s="167"/>
      <c r="BG58" s="167"/>
      <c r="BH58" s="167"/>
      <c r="BI58" s="167"/>
      <c r="BJ58" s="167"/>
      <c r="BK58" s="167"/>
      <c r="BL58" s="167"/>
      <c r="BM58" s="167"/>
      <c r="BN58" s="167"/>
      <c r="BO58" s="167"/>
      <c r="BP58" s="167"/>
      <c r="BQ58" s="167"/>
      <c r="BR58" s="167"/>
      <c r="BS58" s="167"/>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row>
    <row r="59" spans="1:257" ht="15.6" x14ac:dyDescent="0.3">
      <c r="A59" s="301"/>
      <c r="B59" s="278" t="s">
        <v>339</v>
      </c>
      <c r="C59" s="423"/>
      <c r="D59" s="423"/>
      <c r="E59" s="423"/>
      <c r="F59" s="92"/>
      <c r="G59" s="92"/>
      <c r="H59" s="417"/>
      <c r="I59" s="92"/>
      <c r="J59" s="92"/>
      <c r="K59" s="426"/>
      <c r="L59" s="426"/>
      <c r="M59" s="92"/>
      <c r="N59" s="66"/>
      <c r="O59" s="67"/>
      <c r="P59" s="68"/>
      <c r="Q59" s="95"/>
      <c r="R59" s="70"/>
      <c r="T59" s="167"/>
      <c r="U59" s="166"/>
      <c r="V59" s="166"/>
      <c r="W59" s="166"/>
      <c r="X59" s="166"/>
      <c r="Y59" s="166"/>
      <c r="Z59" s="166"/>
      <c r="AA59" s="166"/>
      <c r="AB59" s="166"/>
      <c r="AC59" s="166"/>
      <c r="AD59" s="166"/>
      <c r="AE59" s="675"/>
      <c r="AF59" s="167"/>
      <c r="AG59" s="676"/>
      <c r="AH59" s="167"/>
      <c r="AI59" s="167"/>
      <c r="AJ59" s="167"/>
      <c r="AK59" s="167"/>
      <c r="AL59" s="167"/>
      <c r="AM59" s="167"/>
      <c r="AN59" s="167"/>
      <c r="AO59" s="167"/>
      <c r="AP59" s="167"/>
      <c r="AQ59" s="167"/>
      <c r="AR59" s="167"/>
      <c r="AS59" s="167"/>
      <c r="AT59" s="167"/>
      <c r="AU59" s="167"/>
      <c r="AV59" s="167"/>
      <c r="AW59" s="167"/>
      <c r="AX59" s="167"/>
      <c r="AY59" s="167"/>
      <c r="AZ59" s="167"/>
      <c r="BA59" s="167"/>
      <c r="BB59" s="167"/>
      <c r="BC59" s="167"/>
      <c r="BD59" s="167"/>
      <c r="BE59" s="167"/>
      <c r="BF59" s="167"/>
      <c r="BG59" s="167"/>
      <c r="BH59" s="167"/>
      <c r="BI59" s="167"/>
      <c r="BJ59" s="167"/>
      <c r="BK59" s="167"/>
      <c r="BL59" s="167"/>
      <c r="BM59" s="167"/>
      <c r="BN59" s="167"/>
      <c r="BO59" s="167"/>
      <c r="BP59" s="167"/>
      <c r="BQ59" s="167"/>
      <c r="BR59" s="167"/>
      <c r="BS59" s="167"/>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row>
    <row r="60" spans="1:257" ht="15.6" x14ac:dyDescent="0.3">
      <c r="A60" s="97" t="s">
        <v>234</v>
      </c>
      <c r="B60" s="424" t="s">
        <v>253</v>
      </c>
      <c r="C60" s="425"/>
      <c r="D60" s="425" t="s">
        <v>246</v>
      </c>
      <c r="E60" s="422" t="s">
        <v>244</v>
      </c>
      <c r="H60" s="3" t="s">
        <v>248</v>
      </c>
      <c r="J60" s="92"/>
      <c r="K60" s="426"/>
      <c r="L60" s="426"/>
      <c r="M60" s="92"/>
      <c r="N60" s="66"/>
      <c r="O60" s="67"/>
      <c r="P60" s="68"/>
      <c r="Q60" s="95"/>
      <c r="R60" s="70"/>
      <c r="T60" s="167"/>
      <c r="U60" s="166"/>
      <c r="V60" s="166"/>
      <c r="W60" s="166"/>
      <c r="X60" s="166"/>
      <c r="Y60" s="166"/>
      <c r="Z60" s="166"/>
      <c r="AA60" s="166"/>
      <c r="AB60" s="166"/>
      <c r="AC60" s="166"/>
      <c r="AD60" s="166"/>
      <c r="AE60" s="675"/>
      <c r="AF60" s="167"/>
      <c r="AG60" s="676"/>
      <c r="AH60" s="167"/>
      <c r="AI60" s="167"/>
      <c r="AJ60" s="167"/>
      <c r="AK60" s="167"/>
      <c r="AL60" s="167"/>
      <c r="AM60" s="167"/>
      <c r="AN60" s="167"/>
      <c r="AO60" s="167"/>
      <c r="AP60" s="167"/>
      <c r="AQ60" s="167"/>
      <c r="AR60" s="167"/>
      <c r="AS60" s="167"/>
      <c r="AT60" s="167"/>
      <c r="AU60" s="167"/>
      <c r="AV60" s="167"/>
      <c r="AW60" s="167"/>
      <c r="AX60" s="167"/>
      <c r="AY60" s="167"/>
      <c r="AZ60" s="167"/>
      <c r="BA60" s="167"/>
      <c r="BB60" s="167"/>
      <c r="BC60" s="167"/>
      <c r="BD60" s="167"/>
      <c r="BE60" s="167"/>
      <c r="BF60" s="167"/>
      <c r="BG60" s="167"/>
      <c r="BH60" s="167"/>
      <c r="BI60" s="167"/>
      <c r="BJ60" s="167"/>
      <c r="BK60" s="167"/>
      <c r="BL60" s="167"/>
      <c r="BM60" s="167"/>
      <c r="BN60" s="167"/>
      <c r="BO60" s="167"/>
      <c r="BP60" s="167"/>
      <c r="BQ60" s="167"/>
      <c r="BR60" s="167"/>
      <c r="BS60" s="167"/>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row>
    <row r="61" spans="1:257" x14ac:dyDescent="0.3">
      <c r="A61" s="278" t="s">
        <v>250</v>
      </c>
      <c r="B61" s="432"/>
      <c r="C61" s="425"/>
      <c r="D61" s="431"/>
      <c r="E61" s="431">
        <v>2160</v>
      </c>
      <c r="F61" s="388" t="s">
        <v>338</v>
      </c>
      <c r="G61" s="450">
        <v>1</v>
      </c>
      <c r="H61" s="430">
        <v>24</v>
      </c>
      <c r="I61" s="418" t="s">
        <v>96</v>
      </c>
      <c r="J61" s="92"/>
      <c r="K61" s="451">
        <v>24</v>
      </c>
      <c r="L61" s="452">
        <v>1</v>
      </c>
      <c r="M61" s="92"/>
      <c r="N61" s="551">
        <v>90</v>
      </c>
      <c r="O61" s="67" t="s">
        <v>68</v>
      </c>
      <c r="P61" s="68" t="s">
        <v>50</v>
      </c>
      <c r="Q61" s="389">
        <v>123.46026428622827</v>
      </c>
      <c r="R61" s="390" t="s">
        <v>68</v>
      </c>
      <c r="T61" s="680">
        <v>106.95606081652409</v>
      </c>
      <c r="U61" s="166"/>
      <c r="V61" s="166"/>
      <c r="W61" s="166"/>
      <c r="X61" s="166"/>
      <c r="Y61" s="166"/>
      <c r="Z61" s="166"/>
      <c r="AA61" s="679">
        <v>0</v>
      </c>
      <c r="AB61" s="166"/>
      <c r="AC61" s="166"/>
      <c r="AD61" s="166"/>
      <c r="AE61" s="166"/>
      <c r="AF61" s="166"/>
      <c r="AG61" s="676"/>
      <c r="AH61" s="167"/>
      <c r="AI61" s="167"/>
      <c r="AJ61" s="167"/>
      <c r="AK61" s="167"/>
      <c r="AL61" s="167"/>
      <c r="AM61" s="167"/>
      <c r="AN61" s="167"/>
      <c r="AO61" s="167"/>
      <c r="AP61" s="167"/>
      <c r="AQ61" s="167"/>
      <c r="AR61" s="167"/>
      <c r="AS61" s="167"/>
      <c r="AT61" s="167"/>
      <c r="AU61" s="167"/>
      <c r="AV61" s="167"/>
      <c r="AW61" s="167"/>
      <c r="AX61" s="167"/>
      <c r="AY61" s="167"/>
      <c r="AZ61" s="167"/>
      <c r="BA61" s="167"/>
      <c r="BB61" s="167"/>
      <c r="BC61" s="167"/>
      <c r="BD61" s="167"/>
      <c r="BE61" s="167"/>
      <c r="BF61" s="167"/>
      <c r="BG61" s="167"/>
      <c r="BH61" s="167"/>
      <c r="BI61" s="167"/>
      <c r="BJ61" s="167"/>
      <c r="BK61" s="167"/>
      <c r="BL61" s="167"/>
      <c r="BM61" s="167"/>
      <c r="BN61" s="167"/>
      <c r="BO61" s="167"/>
      <c r="BP61" s="167"/>
      <c r="BQ61" s="167"/>
      <c r="BR61" s="167"/>
      <c r="BS61" s="167"/>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row>
    <row r="62" spans="1:257" ht="15.6" x14ac:dyDescent="0.3">
      <c r="A62" s="64"/>
      <c r="B62" s="94"/>
      <c r="C62" s="92"/>
      <c r="D62" s="92"/>
      <c r="E62" s="92"/>
      <c r="F62" s="92"/>
      <c r="G62" s="92"/>
      <c r="H62" s="92"/>
      <c r="I62" s="92"/>
      <c r="J62" s="92"/>
      <c r="K62" s="92"/>
      <c r="L62" s="92"/>
      <c r="M62" s="92"/>
      <c r="N62" s="66"/>
      <c r="O62" s="67"/>
      <c r="P62" s="68"/>
      <c r="Q62" s="95"/>
      <c r="R62" s="70"/>
      <c r="T62" s="167"/>
      <c r="U62" s="166"/>
      <c r="V62" s="166"/>
      <c r="W62" s="166"/>
      <c r="X62" s="166"/>
      <c r="Y62" s="166"/>
      <c r="Z62" s="166"/>
      <c r="AA62" s="166"/>
      <c r="AB62" s="166"/>
      <c r="AC62" s="166"/>
      <c r="AD62" s="166"/>
      <c r="AE62" s="675"/>
      <c r="AF62" s="167"/>
      <c r="AG62" s="676"/>
      <c r="AH62" s="167"/>
      <c r="AI62" s="167"/>
      <c r="AJ62" s="167"/>
      <c r="AK62" s="167"/>
      <c r="AL62" s="167"/>
      <c r="AM62" s="167"/>
      <c r="AN62" s="167"/>
      <c r="AO62" s="167"/>
      <c r="AP62" s="167"/>
      <c r="AQ62" s="167"/>
      <c r="AR62" s="167"/>
      <c r="AS62" s="167"/>
      <c r="AT62" s="167"/>
      <c r="AU62" s="167"/>
      <c r="AV62" s="167"/>
      <c r="AW62" s="167"/>
      <c r="AX62" s="167"/>
      <c r="AY62" s="167"/>
      <c r="AZ62" s="167"/>
      <c r="BA62" s="167"/>
      <c r="BB62" s="167"/>
      <c r="BC62" s="167"/>
      <c r="BD62" s="167"/>
      <c r="BE62" s="167"/>
      <c r="BF62" s="167"/>
      <c r="BG62" s="167"/>
      <c r="BH62" s="167"/>
      <c r="BI62" s="167"/>
      <c r="BJ62" s="167"/>
      <c r="BK62" s="167"/>
      <c r="BL62" s="167"/>
      <c r="BM62" s="167"/>
      <c r="BN62" s="167"/>
      <c r="BO62" s="167"/>
      <c r="BP62" s="167"/>
      <c r="BQ62" s="167"/>
      <c r="BR62" s="167"/>
      <c r="BS62" s="167"/>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row>
    <row r="63" spans="1:257" ht="15" customHeight="1" x14ac:dyDescent="0.3">
      <c r="A63" s="64" t="s">
        <v>232</v>
      </c>
      <c r="B63" s="171"/>
      <c r="C63" s="828"/>
      <c r="D63" s="828"/>
      <c r="E63" s="172"/>
      <c r="F63" s="36"/>
      <c r="G63" s="92"/>
      <c r="N63" s="66"/>
      <c r="O63" s="67"/>
      <c r="P63" s="68"/>
      <c r="Q63" s="95"/>
      <c r="R63" s="70"/>
      <c r="T63" s="167"/>
      <c r="U63" s="166"/>
      <c r="V63" s="166"/>
      <c r="W63" s="166"/>
      <c r="X63" s="166"/>
      <c r="Y63" s="166"/>
      <c r="Z63" s="166"/>
      <c r="AA63" s="166"/>
      <c r="AB63" s="166"/>
      <c r="AC63" s="166"/>
      <c r="AD63" s="166"/>
      <c r="AE63" s="166"/>
      <c r="AF63" s="167"/>
      <c r="AG63" s="167"/>
      <c r="AH63" s="167"/>
      <c r="AI63" s="167"/>
      <c r="AJ63" s="167"/>
      <c r="AK63" s="167"/>
      <c r="AL63" s="167"/>
      <c r="AM63" s="167"/>
      <c r="AN63" s="167"/>
      <c r="AO63" s="167"/>
      <c r="AP63" s="167"/>
      <c r="AQ63" s="167"/>
      <c r="AR63" s="167"/>
      <c r="AS63" s="167"/>
      <c r="AT63" s="167"/>
      <c r="AU63" s="167"/>
      <c r="AV63" s="167"/>
      <c r="AW63" s="167"/>
      <c r="AX63" s="167"/>
      <c r="AY63" s="167"/>
      <c r="AZ63" s="167"/>
      <c r="BA63" s="167"/>
      <c r="BB63" s="167"/>
      <c r="BC63" s="167"/>
      <c r="BD63" s="167"/>
      <c r="BE63" s="167"/>
      <c r="BF63" s="167"/>
      <c r="BG63" s="167"/>
      <c r="BH63" s="167"/>
      <c r="BI63" s="167"/>
      <c r="BJ63" s="167"/>
      <c r="BK63" s="167"/>
      <c r="BL63" s="167"/>
      <c r="BM63" s="167"/>
      <c r="BN63" s="167"/>
      <c r="BO63" s="167"/>
      <c r="BP63" s="167"/>
      <c r="BQ63" s="167"/>
      <c r="BR63" s="167"/>
      <c r="BS63" s="167"/>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row>
    <row r="64" spans="1:257" x14ac:dyDescent="0.3">
      <c r="A64" s="302" t="s">
        <v>233</v>
      </c>
      <c r="B64" s="424" t="s">
        <v>195</v>
      </c>
      <c r="C64" s="827" t="s">
        <v>196</v>
      </c>
      <c r="D64" s="827"/>
      <c r="E64" s="422" t="s">
        <v>111</v>
      </c>
      <c r="F64" s="421"/>
      <c r="H64" s="303" t="s">
        <v>197</v>
      </c>
      <c r="L64" s="156"/>
      <c r="N64" s="66"/>
      <c r="O64" s="67"/>
      <c r="P64" s="68"/>
      <c r="Q64" s="95"/>
      <c r="R64" s="70"/>
      <c r="T64" s="167"/>
      <c r="U64" s="166"/>
      <c r="V64" s="166"/>
      <c r="W64" s="166"/>
      <c r="X64" s="166"/>
      <c r="Y64" s="166"/>
      <c r="Z64" s="166"/>
      <c r="AA64" s="166"/>
      <c r="AB64" s="166"/>
      <c r="AC64" s="166"/>
      <c r="AD64" s="166"/>
      <c r="AE64" s="166"/>
      <c r="AF64" s="167"/>
      <c r="AG64" s="167"/>
      <c r="AH64" s="167"/>
      <c r="AI64" s="167"/>
      <c r="AJ64" s="167"/>
      <c r="AK64" s="167"/>
      <c r="AL64" s="167"/>
      <c r="AM64" s="167"/>
      <c r="AN64" s="167"/>
      <c r="AO64" s="167"/>
      <c r="AP64" s="167"/>
      <c r="AQ64" s="167"/>
      <c r="AR64" s="167"/>
      <c r="AS64" s="167"/>
      <c r="AT64" s="167"/>
      <c r="AU64" s="167"/>
      <c r="AV64" s="167"/>
      <c r="AW64" s="167"/>
      <c r="AX64" s="167"/>
      <c r="AY64" s="167"/>
      <c r="AZ64" s="167"/>
      <c r="BA64" s="167"/>
      <c r="BB64" s="167"/>
      <c r="BC64" s="167"/>
      <c r="BD64" s="167"/>
      <c r="BE64" s="167"/>
      <c r="BF64" s="167"/>
      <c r="BG64" s="167"/>
      <c r="BH64" s="167"/>
      <c r="BI64" s="167"/>
      <c r="BJ64" s="167"/>
      <c r="BK64" s="167"/>
      <c r="BL64" s="167"/>
      <c r="BM64" s="167"/>
      <c r="BN64" s="167"/>
      <c r="BO64" s="167"/>
      <c r="BP64" s="167"/>
      <c r="BQ64" s="167"/>
      <c r="BR64" s="167"/>
      <c r="BS64" s="167"/>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row>
    <row r="65" spans="1:257" x14ac:dyDescent="0.3">
      <c r="A65" s="278" t="s">
        <v>192</v>
      </c>
      <c r="B65" s="427">
        <v>2021</v>
      </c>
      <c r="C65" s="825">
        <v>14000</v>
      </c>
      <c r="D65" s="826"/>
      <c r="E65" s="428">
        <v>1</v>
      </c>
      <c r="H65" s="429">
        <v>150</v>
      </c>
      <c r="I65" s="418" t="s">
        <v>96</v>
      </c>
      <c r="K65" s="451">
        <v>150</v>
      </c>
      <c r="L65" s="452">
        <v>1</v>
      </c>
      <c r="N65" s="551">
        <v>107.9111273341788</v>
      </c>
      <c r="O65" s="67" t="s">
        <v>68</v>
      </c>
      <c r="P65" s="68" t="s">
        <v>50</v>
      </c>
      <c r="Q65" s="389">
        <v>134.99735742684027</v>
      </c>
      <c r="R65" s="390" t="s">
        <v>68</v>
      </c>
      <c r="T65" s="680">
        <v>107.84054201009116</v>
      </c>
      <c r="U65" s="681">
        <v>385.23923525502533</v>
      </c>
      <c r="V65" s="166"/>
      <c r="W65" s="166"/>
      <c r="X65" s="682">
        <v>1</v>
      </c>
      <c r="Y65" s="166">
        <v>1</v>
      </c>
      <c r="Z65" s="682">
        <v>1</v>
      </c>
      <c r="AA65" s="166">
        <v>1</v>
      </c>
      <c r="AB65" s="682"/>
      <c r="AC65" s="166"/>
      <c r="AD65" s="166"/>
      <c r="AE65" s="166"/>
      <c r="AF65" s="167"/>
      <c r="AG65" s="167"/>
      <c r="AH65" s="167"/>
      <c r="AI65" s="167"/>
      <c r="AJ65" s="167"/>
      <c r="AK65" s="167"/>
      <c r="AL65" s="167"/>
      <c r="AM65" s="167"/>
      <c r="AN65" s="167"/>
      <c r="AO65" s="167"/>
      <c r="AP65" s="167"/>
      <c r="AQ65" s="167"/>
      <c r="AR65" s="167"/>
      <c r="AS65" s="167"/>
      <c r="AT65" s="167"/>
      <c r="AU65" s="167"/>
      <c r="AV65" s="167"/>
      <c r="AW65" s="167"/>
      <c r="AX65" s="167"/>
      <c r="AY65" s="167"/>
      <c r="AZ65" s="167"/>
      <c r="BA65" s="167"/>
      <c r="BB65" s="167"/>
      <c r="BC65" s="167"/>
      <c r="BD65" s="167"/>
      <c r="BE65" s="167"/>
      <c r="BF65" s="167"/>
      <c r="BG65" s="167"/>
      <c r="BH65" s="167"/>
      <c r="BI65" s="167"/>
      <c r="BJ65" s="167"/>
      <c r="BK65" s="167"/>
      <c r="BL65" s="167"/>
      <c r="BM65" s="167"/>
      <c r="BN65" s="167"/>
      <c r="BO65" s="167"/>
      <c r="BP65" s="167"/>
      <c r="BQ65" s="167"/>
      <c r="BR65" s="167"/>
      <c r="BS65" s="167"/>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row>
    <row r="66" spans="1:257" x14ac:dyDescent="0.3">
      <c r="A66" s="278" t="s">
        <v>193</v>
      </c>
      <c r="B66" s="427"/>
      <c r="C66" s="825"/>
      <c r="D66" s="826"/>
      <c r="E66" s="428"/>
      <c r="H66" s="429"/>
      <c r="I66" s="418" t="s">
        <v>96</v>
      </c>
      <c r="K66" s="451">
        <v>0</v>
      </c>
      <c r="L66" s="452">
        <v>0</v>
      </c>
      <c r="N66" s="551">
        <v>0</v>
      </c>
      <c r="O66" s="67" t="s">
        <v>68</v>
      </c>
      <c r="P66" s="68" t="s">
        <v>50</v>
      </c>
      <c r="Q66" s="389">
        <v>0</v>
      </c>
      <c r="R66" s="390" t="s">
        <v>68</v>
      </c>
      <c r="T66" s="680">
        <v>0</v>
      </c>
      <c r="U66" s="166"/>
      <c r="V66" s="166"/>
      <c r="W66" s="166"/>
      <c r="X66" s="682">
        <v>0</v>
      </c>
      <c r="Y66" s="166">
        <v>0</v>
      </c>
      <c r="Z66" s="682">
        <v>0</v>
      </c>
      <c r="AA66" s="166">
        <v>0</v>
      </c>
      <c r="AB66" s="682"/>
      <c r="AC66" s="166"/>
      <c r="AD66" s="166"/>
      <c r="AE66" s="166"/>
      <c r="AF66" s="167"/>
      <c r="AG66" s="167"/>
      <c r="AH66" s="167"/>
      <c r="AI66" s="167"/>
      <c r="AJ66" s="167"/>
      <c r="AK66" s="167"/>
      <c r="AL66" s="167"/>
      <c r="AM66" s="167"/>
      <c r="AN66" s="167"/>
      <c r="AO66" s="167"/>
      <c r="AP66" s="167"/>
      <c r="AQ66" s="167"/>
      <c r="AR66" s="167"/>
      <c r="AS66" s="167"/>
      <c r="AT66" s="167"/>
      <c r="AU66" s="167"/>
      <c r="AV66" s="167"/>
      <c r="AW66" s="167"/>
      <c r="AX66" s="167"/>
      <c r="AY66" s="167"/>
      <c r="AZ66" s="167"/>
      <c r="BA66" s="167"/>
      <c r="BB66" s="167"/>
      <c r="BC66" s="167"/>
      <c r="BD66" s="167"/>
      <c r="BE66" s="167"/>
      <c r="BF66" s="167"/>
      <c r="BG66" s="167"/>
      <c r="BH66" s="167"/>
      <c r="BI66" s="167"/>
      <c r="BJ66" s="167"/>
      <c r="BK66" s="167"/>
      <c r="BL66" s="167"/>
      <c r="BM66" s="167"/>
      <c r="BN66" s="167"/>
      <c r="BO66" s="167"/>
      <c r="BP66" s="167"/>
      <c r="BQ66" s="167"/>
      <c r="BR66" s="167"/>
      <c r="BS66" s="167"/>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row>
    <row r="67" spans="1:257" x14ac:dyDescent="0.3">
      <c r="A67" s="278" t="s">
        <v>223</v>
      </c>
      <c r="B67" s="427">
        <v>2005</v>
      </c>
      <c r="C67" s="825">
        <v>7300</v>
      </c>
      <c r="D67" s="826"/>
      <c r="E67" s="428">
        <v>1</v>
      </c>
      <c r="H67" s="429">
        <v>60</v>
      </c>
      <c r="I67" s="418" t="s">
        <v>96</v>
      </c>
      <c r="K67" s="451">
        <v>60</v>
      </c>
      <c r="L67" s="452">
        <v>1</v>
      </c>
      <c r="N67" s="551">
        <v>194.66666666666666</v>
      </c>
      <c r="O67" s="67" t="s">
        <v>68</v>
      </c>
      <c r="P67" s="68" t="s">
        <v>50</v>
      </c>
      <c r="Q67" s="389">
        <v>151.69773335945723</v>
      </c>
      <c r="R67" s="390" t="s">
        <v>68</v>
      </c>
      <c r="T67" s="680">
        <v>117.85812959879897</v>
      </c>
      <c r="U67" s="166"/>
      <c r="V67" s="166"/>
      <c r="W67" s="166"/>
      <c r="X67" s="682">
        <v>1</v>
      </c>
      <c r="Y67" s="166">
        <v>1</v>
      </c>
      <c r="Z67" s="682">
        <v>2</v>
      </c>
      <c r="AA67" s="166">
        <v>2</v>
      </c>
      <c r="AB67" s="682"/>
      <c r="AC67" s="166"/>
      <c r="AD67" s="166"/>
      <c r="AE67" s="166"/>
      <c r="AF67" s="167"/>
      <c r="AG67" s="167"/>
      <c r="AH67" s="167"/>
      <c r="AI67" s="167"/>
      <c r="AJ67" s="167"/>
      <c r="AK67" s="167"/>
      <c r="AL67" s="167"/>
      <c r="AM67" s="167"/>
      <c r="AN67" s="167"/>
      <c r="AO67" s="167"/>
      <c r="AP67" s="167"/>
      <c r="AQ67" s="167"/>
      <c r="AR67" s="167"/>
      <c r="AS67" s="167"/>
      <c r="AT67" s="167"/>
      <c r="AU67" s="167"/>
      <c r="AV67" s="167"/>
      <c r="AW67" s="167"/>
      <c r="AX67" s="167"/>
      <c r="AY67" s="167"/>
      <c r="AZ67" s="167"/>
      <c r="BA67" s="167"/>
      <c r="BB67" s="167"/>
      <c r="BC67" s="167"/>
      <c r="BD67" s="167"/>
      <c r="BE67" s="167"/>
      <c r="BF67" s="167"/>
      <c r="BG67" s="167"/>
      <c r="BH67" s="167"/>
      <c r="BI67" s="167"/>
      <c r="BJ67" s="167"/>
      <c r="BK67" s="167"/>
      <c r="BL67" s="167"/>
      <c r="BM67" s="167"/>
      <c r="BN67" s="167"/>
      <c r="BO67" s="167"/>
      <c r="BP67" s="167"/>
      <c r="BQ67" s="167"/>
      <c r="BR67" s="167"/>
      <c r="BS67" s="167"/>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row>
    <row r="68" spans="1:257" x14ac:dyDescent="0.3">
      <c r="A68" s="278" t="s">
        <v>224</v>
      </c>
      <c r="B68" s="427">
        <v>2015</v>
      </c>
      <c r="C68" s="825">
        <v>15000</v>
      </c>
      <c r="D68" s="826"/>
      <c r="E68" s="428">
        <v>0.5</v>
      </c>
      <c r="H68" s="429">
        <v>150</v>
      </c>
      <c r="I68" s="418" t="s">
        <v>96</v>
      </c>
      <c r="K68" s="451">
        <v>150</v>
      </c>
      <c r="L68" s="452">
        <v>1</v>
      </c>
      <c r="N68" s="551">
        <v>65.404308999387652</v>
      </c>
      <c r="O68" s="67" t="s">
        <v>68</v>
      </c>
      <c r="P68" s="68" t="s">
        <v>50</v>
      </c>
      <c r="Q68" s="389">
        <v>127.61320533339624</v>
      </c>
      <c r="R68" s="390" t="s">
        <v>68</v>
      </c>
      <c r="T68" s="680">
        <v>96.894020295195602</v>
      </c>
      <c r="U68" s="166"/>
      <c r="V68" s="166"/>
      <c r="W68" s="166"/>
      <c r="X68" s="682">
        <v>1</v>
      </c>
      <c r="Y68" s="166">
        <v>1</v>
      </c>
      <c r="Z68" s="682">
        <v>0</v>
      </c>
      <c r="AA68" s="166">
        <v>0</v>
      </c>
      <c r="AB68" s="682"/>
      <c r="AC68" s="166"/>
      <c r="AD68" s="166"/>
      <c r="AE68" s="166"/>
      <c r="AF68" s="167"/>
      <c r="AG68" s="167"/>
      <c r="AH68" s="167"/>
      <c r="AI68" s="167"/>
      <c r="AJ68" s="167"/>
      <c r="AK68" s="167"/>
      <c r="AL68" s="167"/>
      <c r="AM68" s="167"/>
      <c r="AN68" s="167"/>
      <c r="AO68" s="167"/>
      <c r="AP68" s="167"/>
      <c r="AQ68" s="167"/>
      <c r="AR68" s="167"/>
      <c r="AS68" s="167"/>
      <c r="AT68" s="167"/>
      <c r="AU68" s="167"/>
      <c r="AV68" s="167"/>
      <c r="AW68" s="167"/>
      <c r="AX68" s="167"/>
      <c r="AY68" s="167"/>
      <c r="AZ68" s="167"/>
      <c r="BA68" s="167"/>
      <c r="BB68" s="167"/>
      <c r="BC68" s="167"/>
      <c r="BD68" s="167"/>
      <c r="BE68" s="167"/>
      <c r="BF68" s="167"/>
      <c r="BG68" s="167"/>
      <c r="BH68" s="167"/>
      <c r="BI68" s="167"/>
      <c r="BJ68" s="167"/>
      <c r="BK68" s="167"/>
      <c r="BL68" s="167"/>
      <c r="BM68" s="167"/>
      <c r="BN68" s="167"/>
      <c r="BO68" s="167"/>
      <c r="BP68" s="167"/>
      <c r="BQ68" s="167"/>
      <c r="BR68" s="167"/>
      <c r="BS68" s="167"/>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row>
    <row r="69" spans="1:257" x14ac:dyDescent="0.3">
      <c r="A69" s="278" t="s">
        <v>182</v>
      </c>
      <c r="B69" s="427">
        <v>2019</v>
      </c>
      <c r="C69" s="825">
        <v>40000</v>
      </c>
      <c r="D69" s="826"/>
      <c r="E69" s="428">
        <v>0.25</v>
      </c>
      <c r="H69" s="429">
        <v>700</v>
      </c>
      <c r="I69" s="418" t="s">
        <v>227</v>
      </c>
      <c r="K69" s="451">
        <v>700</v>
      </c>
      <c r="L69" s="452">
        <v>1</v>
      </c>
      <c r="N69" s="551">
        <v>17.257132254792229</v>
      </c>
      <c r="O69" s="67" t="s">
        <v>228</v>
      </c>
      <c r="P69" s="68" t="s">
        <v>50</v>
      </c>
      <c r="Q69" s="389">
        <v>27.829995557534826</v>
      </c>
      <c r="R69" s="390" t="s">
        <v>228</v>
      </c>
      <c r="T69" s="680">
        <v>20.299832082280261</v>
      </c>
      <c r="U69" s="166"/>
      <c r="V69" s="166"/>
      <c r="W69" s="166"/>
      <c r="X69" s="682">
        <v>1</v>
      </c>
      <c r="Y69" s="166">
        <v>1</v>
      </c>
      <c r="Z69" s="682">
        <v>0</v>
      </c>
      <c r="AA69" s="166">
        <v>0</v>
      </c>
      <c r="AB69" s="682"/>
      <c r="AC69" s="166"/>
      <c r="AD69" s="166"/>
      <c r="AE69" s="166"/>
      <c r="AF69" s="167"/>
      <c r="AG69" s="167"/>
      <c r="AH69" s="167"/>
      <c r="AI69" s="167"/>
      <c r="AJ69" s="167"/>
      <c r="AK69" s="167"/>
      <c r="AL69" s="167"/>
      <c r="AM69" s="167"/>
      <c r="AN69" s="167"/>
      <c r="AO69" s="167"/>
      <c r="AP69" s="167"/>
      <c r="AQ69" s="167"/>
      <c r="AR69" s="167"/>
      <c r="AS69" s="167"/>
      <c r="AT69" s="167"/>
      <c r="AU69" s="167"/>
      <c r="AV69" s="167"/>
      <c r="AW69" s="167"/>
      <c r="AX69" s="167"/>
      <c r="AY69" s="167"/>
      <c r="AZ69" s="167"/>
      <c r="BA69" s="167"/>
      <c r="BB69" s="167"/>
      <c r="BC69" s="167"/>
      <c r="BD69" s="167"/>
      <c r="BE69" s="167"/>
      <c r="BF69" s="167"/>
      <c r="BG69" s="167"/>
      <c r="BH69" s="167"/>
      <c r="BI69" s="167"/>
      <c r="BJ69" s="167"/>
      <c r="BK69" s="167"/>
      <c r="BL69" s="167"/>
      <c r="BM69" s="167"/>
      <c r="BN69" s="167"/>
      <c r="BO69" s="167"/>
      <c r="BP69" s="167"/>
      <c r="BQ69" s="167"/>
      <c r="BR69" s="167"/>
      <c r="BS69" s="167"/>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row>
    <row r="70" spans="1:257" x14ac:dyDescent="0.3">
      <c r="A70" s="278" t="s">
        <v>183</v>
      </c>
      <c r="B70" s="427"/>
      <c r="C70" s="825"/>
      <c r="D70" s="826"/>
      <c r="E70" s="428"/>
      <c r="H70" s="429"/>
      <c r="I70" s="418" t="s">
        <v>227</v>
      </c>
      <c r="K70" s="451">
        <v>0</v>
      </c>
      <c r="L70" s="452">
        <v>0</v>
      </c>
      <c r="N70" s="551">
        <v>0</v>
      </c>
      <c r="O70" s="67" t="s">
        <v>228</v>
      </c>
      <c r="P70" s="68" t="s">
        <v>50</v>
      </c>
      <c r="Q70" s="389">
        <v>0</v>
      </c>
      <c r="R70" s="390" t="s">
        <v>228</v>
      </c>
      <c r="T70" s="680">
        <v>0</v>
      </c>
      <c r="U70" s="166"/>
      <c r="V70" s="166"/>
      <c r="W70" s="166"/>
      <c r="X70" s="682">
        <v>0</v>
      </c>
      <c r="Y70" s="166">
        <v>0</v>
      </c>
      <c r="Z70" s="682">
        <v>0</v>
      </c>
      <c r="AA70" s="166">
        <v>0</v>
      </c>
      <c r="AB70" s="682"/>
      <c r="AC70" s="166"/>
      <c r="AD70" s="166"/>
      <c r="AE70" s="166"/>
      <c r="AF70" s="167"/>
      <c r="AG70" s="167"/>
      <c r="AH70" s="167"/>
      <c r="AI70" s="167"/>
      <c r="AJ70" s="167"/>
      <c r="AK70" s="167"/>
      <c r="AL70" s="167"/>
      <c r="AM70" s="167"/>
      <c r="AN70" s="167"/>
      <c r="AO70" s="167"/>
      <c r="AP70" s="167"/>
      <c r="AQ70" s="167"/>
      <c r="AR70" s="167"/>
      <c r="AS70" s="167"/>
      <c r="AT70" s="167"/>
      <c r="AU70" s="167"/>
      <c r="AV70" s="167"/>
      <c r="AW70" s="167"/>
      <c r="AX70" s="167"/>
      <c r="AY70" s="167"/>
      <c r="AZ70" s="167"/>
      <c r="BA70" s="167"/>
      <c r="BB70" s="167"/>
      <c r="BC70" s="167"/>
      <c r="BD70" s="167"/>
      <c r="BE70" s="167"/>
      <c r="BF70" s="167"/>
      <c r="BG70" s="167"/>
      <c r="BH70" s="167"/>
      <c r="BI70" s="167"/>
      <c r="BJ70" s="167"/>
      <c r="BK70" s="167"/>
      <c r="BL70" s="167"/>
      <c r="BM70" s="167"/>
      <c r="BN70" s="167"/>
      <c r="BO70" s="167"/>
      <c r="BP70" s="167"/>
      <c r="BQ70" s="167"/>
      <c r="BR70" s="167"/>
      <c r="BS70" s="167"/>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row>
    <row r="71" spans="1:257" x14ac:dyDescent="0.3">
      <c r="A71" s="278" t="s">
        <v>225</v>
      </c>
      <c r="B71" s="427"/>
      <c r="C71" s="825"/>
      <c r="D71" s="826"/>
      <c r="E71" s="428"/>
      <c r="H71" s="429"/>
      <c r="I71" s="418" t="s">
        <v>227</v>
      </c>
      <c r="K71" s="451">
        <v>0</v>
      </c>
      <c r="L71" s="452">
        <v>0</v>
      </c>
      <c r="N71" s="551">
        <v>0</v>
      </c>
      <c r="O71" s="67" t="s">
        <v>228</v>
      </c>
      <c r="P71" s="68" t="s">
        <v>50</v>
      </c>
      <c r="Q71" s="389">
        <v>0</v>
      </c>
      <c r="R71" s="390" t="s">
        <v>228</v>
      </c>
      <c r="T71" s="680">
        <v>0</v>
      </c>
      <c r="U71" s="166"/>
      <c r="V71" s="166"/>
      <c r="W71" s="166"/>
      <c r="X71" s="682">
        <v>0</v>
      </c>
      <c r="Y71" s="166">
        <v>0</v>
      </c>
      <c r="Z71" s="682">
        <v>0</v>
      </c>
      <c r="AA71" s="166">
        <v>0</v>
      </c>
      <c r="AB71" s="682"/>
      <c r="AC71" s="166"/>
      <c r="AD71" s="166"/>
      <c r="AE71" s="166"/>
      <c r="AF71" s="167"/>
      <c r="AG71" s="167"/>
      <c r="AH71" s="167"/>
      <c r="AI71" s="167"/>
      <c r="AJ71" s="167"/>
      <c r="AK71" s="167"/>
      <c r="AL71" s="167"/>
      <c r="AM71" s="167"/>
      <c r="AN71" s="167"/>
      <c r="AO71" s="167"/>
      <c r="AP71" s="167"/>
      <c r="AQ71" s="167"/>
      <c r="AR71" s="167"/>
      <c r="AS71" s="167"/>
      <c r="AT71" s="167"/>
      <c r="AU71" s="167"/>
      <c r="AV71" s="167"/>
      <c r="AW71" s="167"/>
      <c r="AX71" s="167"/>
      <c r="AY71" s="167"/>
      <c r="AZ71" s="167"/>
      <c r="BA71" s="167"/>
      <c r="BB71" s="167"/>
      <c r="BC71" s="167"/>
      <c r="BD71" s="167"/>
      <c r="BE71" s="167"/>
      <c r="BF71" s="167"/>
      <c r="BG71" s="167"/>
      <c r="BH71" s="167"/>
      <c r="BI71" s="167"/>
      <c r="BJ71" s="167"/>
      <c r="BK71" s="167"/>
      <c r="BL71" s="167"/>
      <c r="BM71" s="167"/>
      <c r="BN71" s="167"/>
      <c r="BO71" s="167"/>
      <c r="BP71" s="167"/>
      <c r="BQ71" s="167"/>
      <c r="BR71" s="167"/>
      <c r="BS71" s="167"/>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row>
    <row r="72" spans="1:257" x14ac:dyDescent="0.3">
      <c r="A72" s="278" t="s">
        <v>226</v>
      </c>
      <c r="B72" s="427"/>
      <c r="C72" s="825"/>
      <c r="D72" s="826"/>
      <c r="E72" s="428"/>
      <c r="H72" s="429"/>
      <c r="I72" s="418" t="s">
        <v>227</v>
      </c>
      <c r="K72" s="451">
        <v>0</v>
      </c>
      <c r="L72" s="452">
        <v>0</v>
      </c>
      <c r="N72" s="551">
        <v>0</v>
      </c>
      <c r="O72" s="67" t="s">
        <v>228</v>
      </c>
      <c r="P72" s="68" t="s">
        <v>50</v>
      </c>
      <c r="Q72" s="389">
        <v>0</v>
      </c>
      <c r="R72" s="390" t="s">
        <v>228</v>
      </c>
      <c r="T72" s="680">
        <v>0</v>
      </c>
      <c r="U72" s="166"/>
      <c r="V72" s="166"/>
      <c r="W72" s="166"/>
      <c r="X72" s="682">
        <v>0</v>
      </c>
      <c r="Y72" s="166">
        <v>0</v>
      </c>
      <c r="Z72" s="682">
        <v>0</v>
      </c>
      <c r="AA72" s="166">
        <v>0</v>
      </c>
      <c r="AB72" s="682"/>
      <c r="AC72" s="166"/>
      <c r="AD72" s="166"/>
      <c r="AE72" s="166"/>
      <c r="AF72" s="167"/>
      <c r="AG72" s="167"/>
      <c r="AH72" s="167"/>
      <c r="AI72" s="167"/>
      <c r="AJ72" s="167"/>
      <c r="AK72" s="167"/>
      <c r="AL72" s="167"/>
      <c r="AM72" s="167"/>
      <c r="AN72" s="167"/>
      <c r="AO72" s="167"/>
      <c r="AP72" s="167"/>
      <c r="AQ72" s="167"/>
      <c r="AR72" s="167"/>
      <c r="AS72" s="167"/>
      <c r="AT72" s="167"/>
      <c r="AU72" s="167"/>
      <c r="AV72" s="167"/>
      <c r="AW72" s="167"/>
      <c r="AX72" s="167"/>
      <c r="AY72" s="167"/>
      <c r="AZ72" s="167"/>
      <c r="BA72" s="167"/>
      <c r="BB72" s="167"/>
      <c r="BC72" s="167"/>
      <c r="BD72" s="167"/>
      <c r="BE72" s="167"/>
      <c r="BF72" s="167"/>
      <c r="BG72" s="167"/>
      <c r="BH72" s="167"/>
      <c r="BI72" s="167"/>
      <c r="BJ72" s="167"/>
      <c r="BK72" s="167"/>
      <c r="BL72" s="167"/>
      <c r="BM72" s="167"/>
      <c r="BN72" s="167"/>
      <c r="BO72" s="167"/>
      <c r="BP72" s="167"/>
      <c r="BQ72" s="167"/>
      <c r="BR72" s="167"/>
      <c r="BS72" s="167"/>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row>
    <row r="73" spans="1:257" x14ac:dyDescent="0.3">
      <c r="A73" s="278" t="s">
        <v>190</v>
      </c>
      <c r="B73" s="427"/>
      <c r="C73" s="825"/>
      <c r="D73" s="826"/>
      <c r="E73" s="428"/>
      <c r="H73" s="429"/>
      <c r="I73" s="418" t="s">
        <v>96</v>
      </c>
      <c r="K73" s="451">
        <v>0</v>
      </c>
      <c r="L73" s="452">
        <v>0</v>
      </c>
      <c r="N73" s="551">
        <v>0</v>
      </c>
      <c r="O73" s="67" t="s">
        <v>68</v>
      </c>
      <c r="P73" s="68" t="s">
        <v>50</v>
      </c>
      <c r="Q73" s="389">
        <v>0</v>
      </c>
      <c r="R73" s="390" t="s">
        <v>68</v>
      </c>
      <c r="T73" s="680">
        <v>0</v>
      </c>
      <c r="U73" s="166"/>
      <c r="V73" s="166"/>
      <c r="W73" s="166"/>
      <c r="X73" s="682">
        <v>0</v>
      </c>
      <c r="Y73" s="166">
        <v>0</v>
      </c>
      <c r="Z73" s="682">
        <v>0</v>
      </c>
      <c r="AA73" s="166">
        <v>0</v>
      </c>
      <c r="AB73" s="682"/>
      <c r="AC73" s="166"/>
      <c r="AD73" s="166"/>
      <c r="AE73" s="166"/>
      <c r="AF73" s="167"/>
      <c r="AG73" s="167"/>
      <c r="AH73" s="167"/>
      <c r="AI73" s="167"/>
      <c r="AJ73" s="167"/>
      <c r="AK73" s="167"/>
      <c r="AL73" s="167"/>
      <c r="AM73" s="167"/>
      <c r="AN73" s="167"/>
      <c r="AO73" s="167"/>
      <c r="AP73" s="167"/>
      <c r="AQ73" s="167"/>
      <c r="AR73" s="167"/>
      <c r="AS73" s="167"/>
      <c r="AT73" s="167"/>
      <c r="AU73" s="167"/>
      <c r="AV73" s="167"/>
      <c r="AW73" s="167"/>
      <c r="AX73" s="167"/>
      <c r="AY73" s="167"/>
      <c r="AZ73" s="167"/>
      <c r="BA73" s="167"/>
      <c r="BB73" s="167"/>
      <c r="BC73" s="167"/>
      <c r="BD73" s="167"/>
      <c r="BE73" s="167"/>
      <c r="BF73" s="167"/>
      <c r="BG73" s="167"/>
      <c r="BH73" s="167"/>
      <c r="BI73" s="167"/>
      <c r="BJ73" s="167"/>
      <c r="BK73" s="167"/>
      <c r="BL73" s="167"/>
      <c r="BM73" s="167"/>
      <c r="BN73" s="167"/>
      <c r="BO73" s="167"/>
      <c r="BP73" s="167"/>
      <c r="BQ73" s="167"/>
      <c r="BR73" s="167"/>
      <c r="BS73" s="167"/>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row>
    <row r="74" spans="1:257" x14ac:dyDescent="0.3">
      <c r="A74" s="278" t="s">
        <v>191</v>
      </c>
      <c r="B74" s="427"/>
      <c r="C74" s="825"/>
      <c r="D74" s="826"/>
      <c r="E74" s="428"/>
      <c r="H74" s="429"/>
      <c r="I74" s="418" t="s">
        <v>96</v>
      </c>
      <c r="K74" s="451">
        <v>0</v>
      </c>
      <c r="L74" s="452">
        <v>0</v>
      </c>
      <c r="N74" s="551">
        <v>0</v>
      </c>
      <c r="O74" s="67" t="s">
        <v>68</v>
      </c>
      <c r="P74" s="68" t="s">
        <v>50</v>
      </c>
      <c r="Q74" s="389">
        <v>0</v>
      </c>
      <c r="R74" s="390" t="s">
        <v>68</v>
      </c>
      <c r="T74" s="680">
        <v>0</v>
      </c>
      <c r="U74" s="166"/>
      <c r="V74" s="166"/>
      <c r="W74" s="166"/>
      <c r="X74" s="682">
        <v>0</v>
      </c>
      <c r="Y74" s="166">
        <v>0</v>
      </c>
      <c r="Z74" s="682">
        <v>0</v>
      </c>
      <c r="AA74" s="166">
        <v>0</v>
      </c>
      <c r="AB74" s="682"/>
      <c r="AC74" s="166"/>
      <c r="AD74" s="166"/>
      <c r="AE74" s="166"/>
      <c r="AF74" s="167"/>
      <c r="AG74" s="167"/>
      <c r="AH74" s="167"/>
      <c r="AI74" s="167"/>
      <c r="AJ74" s="167"/>
      <c r="AK74" s="167"/>
      <c r="AL74" s="167"/>
      <c r="AM74" s="167"/>
      <c r="AN74" s="167"/>
      <c r="AO74" s="167"/>
      <c r="AP74" s="167"/>
      <c r="AQ74" s="167"/>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P74" s="167"/>
      <c r="BQ74" s="167"/>
      <c r="BR74" s="167"/>
      <c r="BS74" s="167"/>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row>
    <row r="75" spans="1:257" x14ac:dyDescent="0.3">
      <c r="A75" s="301"/>
      <c r="B75" s="26"/>
      <c r="C75" s="92"/>
      <c r="D75" s="92"/>
      <c r="E75" s="92"/>
      <c r="F75" s="92"/>
      <c r="G75" s="92"/>
      <c r="H75" s="417"/>
      <c r="I75" s="92"/>
      <c r="J75" s="92"/>
      <c r="K75" s="426"/>
      <c r="L75" s="426"/>
      <c r="M75" s="92"/>
      <c r="N75" s="66"/>
      <c r="O75" s="67"/>
      <c r="P75" s="68"/>
      <c r="Q75" s="95"/>
      <c r="R75" s="70"/>
      <c r="T75" s="167"/>
      <c r="U75" s="166"/>
      <c r="V75" s="166"/>
      <c r="W75" s="166"/>
      <c r="X75" s="682"/>
      <c r="Y75" s="166"/>
      <c r="Z75" s="683">
        <v>3</v>
      </c>
      <c r="AA75" s="166"/>
      <c r="AB75" s="683"/>
      <c r="AC75" s="166"/>
      <c r="AD75" s="166"/>
      <c r="AE75" s="166"/>
      <c r="AF75" s="167"/>
      <c r="AG75" s="167"/>
      <c r="AH75" s="167"/>
      <c r="AI75" s="167"/>
      <c r="AJ75" s="167"/>
      <c r="AK75" s="167"/>
      <c r="AL75" s="167"/>
      <c r="AM75" s="167"/>
      <c r="AN75" s="167"/>
      <c r="AO75" s="167"/>
      <c r="AP75" s="167"/>
      <c r="AQ75" s="167"/>
      <c r="AR75" s="167"/>
      <c r="AS75" s="167"/>
      <c r="AT75" s="167"/>
      <c r="AU75" s="167"/>
      <c r="AV75" s="167"/>
      <c r="AW75" s="167"/>
      <c r="AX75" s="167"/>
      <c r="AY75" s="167"/>
      <c r="AZ75" s="167"/>
      <c r="BA75" s="167"/>
      <c r="BB75" s="167"/>
      <c r="BC75" s="167"/>
      <c r="BD75" s="167"/>
      <c r="BE75" s="167"/>
      <c r="BF75" s="167"/>
      <c r="BG75" s="167"/>
      <c r="BH75" s="167"/>
      <c r="BI75" s="167"/>
      <c r="BJ75" s="167"/>
      <c r="BK75" s="167"/>
      <c r="BL75" s="167"/>
      <c r="BM75" s="167"/>
      <c r="BN75" s="167"/>
      <c r="BO75" s="167"/>
      <c r="BP75" s="167"/>
      <c r="BQ75" s="167"/>
      <c r="BR75" s="167"/>
      <c r="BS75" s="167"/>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row>
    <row r="76" spans="1:257" ht="15.6" x14ac:dyDescent="0.3">
      <c r="A76" s="301"/>
      <c r="B76" s="278" t="s">
        <v>339</v>
      </c>
      <c r="C76" s="423"/>
      <c r="D76" s="423"/>
      <c r="E76" s="423"/>
      <c r="F76" s="92"/>
      <c r="G76" s="92"/>
      <c r="H76" s="417"/>
      <c r="I76" s="92"/>
      <c r="J76" s="92"/>
      <c r="K76" s="426"/>
      <c r="L76" s="426"/>
      <c r="M76" s="92"/>
      <c r="N76" s="66"/>
      <c r="O76" s="67"/>
      <c r="P76" s="68"/>
      <c r="Q76" s="95"/>
      <c r="R76" s="70"/>
      <c r="T76" s="167"/>
      <c r="U76" s="166"/>
      <c r="V76" s="166"/>
      <c r="W76" s="166"/>
      <c r="X76" s="682"/>
      <c r="Y76" s="166"/>
      <c r="Z76" s="166"/>
      <c r="AA76" s="166"/>
      <c r="AB76" s="166"/>
      <c r="AC76" s="682">
        <v>0.75</v>
      </c>
      <c r="AD76" s="166">
        <v>1</v>
      </c>
      <c r="AE76" s="675">
        <v>2</v>
      </c>
      <c r="AF76" s="167"/>
      <c r="AG76" s="676" t="s">
        <v>232</v>
      </c>
      <c r="AH76" s="167"/>
      <c r="AI76" s="167"/>
      <c r="AJ76" s="167"/>
      <c r="AK76" s="167">
        <v>0</v>
      </c>
      <c r="AL76" s="167">
        <v>1</v>
      </c>
      <c r="AM76" s="167">
        <v>2</v>
      </c>
      <c r="AN76" s="167"/>
      <c r="AO76" s="167">
        <v>0</v>
      </c>
      <c r="AP76" s="167">
        <v>2</v>
      </c>
      <c r="AQ76" s="167">
        <v>5</v>
      </c>
      <c r="AR76" s="167"/>
      <c r="AS76" s="167"/>
      <c r="AT76" s="167"/>
      <c r="AU76" s="167">
        <v>2</v>
      </c>
      <c r="AV76" s="167">
        <v>1</v>
      </c>
      <c r="AW76" s="167"/>
      <c r="AX76" s="676">
        <v>5</v>
      </c>
      <c r="AY76" s="167">
        <v>2</v>
      </c>
      <c r="AZ76" s="167"/>
      <c r="BA76" s="167">
        <v>2</v>
      </c>
      <c r="BB76" s="167">
        <v>1</v>
      </c>
      <c r="BC76" s="167"/>
      <c r="BD76" s="167"/>
      <c r="BE76" s="167"/>
      <c r="BF76" s="167"/>
      <c r="BG76" s="167"/>
      <c r="BH76" s="167"/>
      <c r="BI76" s="167"/>
      <c r="BJ76" s="167"/>
      <c r="BK76" s="167"/>
      <c r="BL76" s="167"/>
      <c r="BM76" s="167"/>
      <c r="BN76" s="167"/>
      <c r="BO76" s="167"/>
      <c r="BP76" s="167"/>
      <c r="BQ76" s="167"/>
      <c r="BR76" s="167"/>
      <c r="BS76" s="167"/>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row>
    <row r="77" spans="1:257" x14ac:dyDescent="0.3">
      <c r="A77" s="97" t="s">
        <v>234</v>
      </c>
      <c r="B77" s="424" t="s">
        <v>243</v>
      </c>
      <c r="C77" s="425" t="s">
        <v>245</v>
      </c>
      <c r="D77" s="425" t="s">
        <v>246</v>
      </c>
      <c r="E77" s="422" t="s">
        <v>244</v>
      </c>
      <c r="H77" s="3" t="s">
        <v>248</v>
      </c>
      <c r="J77" s="92"/>
      <c r="K77" s="426"/>
      <c r="L77" s="426"/>
      <c r="M77" s="92"/>
      <c r="N77" s="66"/>
      <c r="O77" s="67"/>
      <c r="P77" s="68"/>
      <c r="Q77" s="95"/>
      <c r="R77" s="70"/>
      <c r="T77" s="167"/>
      <c r="U77" s="166"/>
      <c r="V77" s="166"/>
      <c r="W77" s="166"/>
      <c r="X77" s="682"/>
      <c r="Y77" s="166"/>
      <c r="Z77" s="166"/>
      <c r="AA77" s="166"/>
      <c r="AB77" s="166"/>
      <c r="AC77" s="166"/>
      <c r="AD77" s="166"/>
      <c r="AE77" s="166"/>
      <c r="AF77" s="167"/>
      <c r="AG77" s="167"/>
      <c r="AH77" s="167"/>
      <c r="AI77" s="167"/>
      <c r="AJ77" s="167"/>
      <c r="AK77" s="167"/>
      <c r="AL77" s="167"/>
      <c r="AM77" s="167"/>
      <c r="AN77" s="167"/>
      <c r="AO77" s="167"/>
      <c r="AP77" s="167"/>
      <c r="AQ77" s="167"/>
      <c r="AR77" s="167"/>
      <c r="AS77" s="167"/>
      <c r="AT77" s="167"/>
      <c r="AU77" s="167"/>
      <c r="AV77" s="167"/>
      <c r="AW77" s="167"/>
      <c r="AX77" s="167"/>
      <c r="AY77" s="167"/>
      <c r="AZ77" s="167"/>
      <c r="BA77" s="167"/>
      <c r="BB77" s="167"/>
      <c r="BC77" s="167"/>
      <c r="BD77" s="167"/>
      <c r="BE77" s="167"/>
      <c r="BF77" s="167"/>
      <c r="BG77" s="167"/>
      <c r="BH77" s="167"/>
      <c r="BI77" s="167"/>
      <c r="BJ77" s="167"/>
      <c r="BK77" s="167"/>
      <c r="BL77" s="167"/>
      <c r="BM77" s="167"/>
      <c r="BN77" s="167"/>
      <c r="BO77" s="167"/>
      <c r="BP77" s="167"/>
      <c r="BQ77" s="167"/>
      <c r="BR77" s="167"/>
      <c r="BS77" s="167"/>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row>
    <row r="78" spans="1:257" x14ac:dyDescent="0.3">
      <c r="A78" s="278" t="s">
        <v>236</v>
      </c>
      <c r="B78" s="432"/>
      <c r="C78" s="431"/>
      <c r="D78" s="431"/>
      <c r="E78" s="431"/>
      <c r="F78" s="388" t="s">
        <v>338</v>
      </c>
      <c r="G78" s="450">
        <v>0</v>
      </c>
      <c r="H78" s="430"/>
      <c r="I78" s="418" t="s">
        <v>96</v>
      </c>
      <c r="J78" s="92"/>
      <c r="K78" s="451">
        <v>150</v>
      </c>
      <c r="L78" s="452">
        <v>0</v>
      </c>
      <c r="M78" s="92"/>
      <c r="N78" s="551">
        <v>0</v>
      </c>
      <c r="O78" s="67" t="s">
        <v>68</v>
      </c>
      <c r="P78" s="68" t="s">
        <v>50</v>
      </c>
      <c r="Q78" s="389">
        <v>0</v>
      </c>
      <c r="R78" s="390" t="s">
        <v>68</v>
      </c>
      <c r="T78" s="680">
        <v>0</v>
      </c>
      <c r="U78" s="166"/>
      <c r="V78" s="166"/>
      <c r="W78" s="166"/>
      <c r="X78" s="682">
        <v>0</v>
      </c>
      <c r="Y78" s="166">
        <v>0</v>
      </c>
      <c r="Z78" s="682">
        <v>0</v>
      </c>
      <c r="AA78" s="166">
        <v>0</v>
      </c>
      <c r="AB78" s="166"/>
      <c r="AC78" s="166"/>
      <c r="AD78" s="166"/>
      <c r="AE78" s="166"/>
      <c r="AF78" s="167"/>
      <c r="AG78" s="167"/>
      <c r="AH78" s="167"/>
      <c r="AI78" s="167"/>
      <c r="AJ78" s="167"/>
      <c r="AK78" s="167"/>
      <c r="AL78" s="167"/>
      <c r="AM78" s="167"/>
      <c r="AN78" s="167"/>
      <c r="AO78" s="167"/>
      <c r="AP78" s="167"/>
      <c r="AQ78" s="167"/>
      <c r="AR78" s="167"/>
      <c r="AS78" s="167"/>
      <c r="AT78" s="167"/>
      <c r="AU78" s="167"/>
      <c r="AV78" s="167"/>
      <c r="AW78" s="167"/>
      <c r="AX78" s="167"/>
      <c r="AY78" s="167"/>
      <c r="AZ78" s="167"/>
      <c r="BA78" s="167"/>
      <c r="BB78" s="167"/>
      <c r="BC78" s="167"/>
      <c r="BD78" s="167"/>
      <c r="BE78" s="167"/>
      <c r="BF78" s="167"/>
      <c r="BG78" s="167"/>
      <c r="BH78" s="167"/>
      <c r="BI78" s="167"/>
      <c r="BJ78" s="167"/>
      <c r="BK78" s="167"/>
      <c r="BL78" s="167"/>
      <c r="BM78" s="167"/>
      <c r="BN78" s="167"/>
      <c r="BO78" s="167"/>
      <c r="BP78" s="167"/>
      <c r="BQ78" s="167"/>
      <c r="BR78" s="167"/>
      <c r="BS78" s="167"/>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row>
    <row r="79" spans="1:257" x14ac:dyDescent="0.3">
      <c r="A79" s="278" t="s">
        <v>237</v>
      </c>
      <c r="B79" s="432"/>
      <c r="C79" s="431"/>
      <c r="D79" s="431"/>
      <c r="E79" s="431"/>
      <c r="F79" s="388" t="s">
        <v>338</v>
      </c>
      <c r="G79" s="450">
        <v>0</v>
      </c>
      <c r="H79" s="430"/>
      <c r="I79" s="418" t="s">
        <v>96</v>
      </c>
      <c r="J79" s="92"/>
      <c r="K79" s="451">
        <v>0</v>
      </c>
      <c r="L79" s="452">
        <v>0</v>
      </c>
      <c r="M79" s="92"/>
      <c r="N79" s="551">
        <v>0</v>
      </c>
      <c r="O79" s="67" t="s">
        <v>68</v>
      </c>
      <c r="P79" s="68" t="s">
        <v>50</v>
      </c>
      <c r="Q79" s="389">
        <v>0</v>
      </c>
      <c r="R79" s="390" t="s">
        <v>68</v>
      </c>
      <c r="T79" s="680">
        <v>0</v>
      </c>
      <c r="U79" s="166"/>
      <c r="V79" s="166"/>
      <c r="W79" s="166"/>
      <c r="X79" s="682">
        <v>0</v>
      </c>
      <c r="Y79" s="166">
        <v>0</v>
      </c>
      <c r="Z79" s="682">
        <v>0</v>
      </c>
      <c r="AA79" s="166">
        <v>0</v>
      </c>
      <c r="AB79" s="166"/>
      <c r="AC79" s="166"/>
      <c r="AD79" s="166"/>
      <c r="AE79" s="166"/>
      <c r="AF79" s="167"/>
      <c r="AG79" s="167"/>
      <c r="AH79" s="167"/>
      <c r="AI79" s="167"/>
      <c r="AJ79" s="167"/>
      <c r="AK79" s="167"/>
      <c r="AL79" s="167"/>
      <c r="AM79" s="167"/>
      <c r="AN79" s="167"/>
      <c r="AO79" s="167"/>
      <c r="AP79" s="167"/>
      <c r="AQ79" s="167"/>
      <c r="AR79" s="167"/>
      <c r="AS79" s="167"/>
      <c r="AT79" s="167"/>
      <c r="AU79" s="167"/>
      <c r="AV79" s="167"/>
      <c r="AW79" s="167"/>
      <c r="AX79" s="167"/>
      <c r="AY79" s="167"/>
      <c r="AZ79" s="167"/>
      <c r="BA79" s="167"/>
      <c r="BB79" s="167"/>
      <c r="BC79" s="167"/>
      <c r="BD79" s="167"/>
      <c r="BE79" s="167"/>
      <c r="BF79" s="167"/>
      <c r="BG79" s="167"/>
      <c r="BH79" s="167"/>
      <c r="BI79" s="167"/>
      <c r="BJ79" s="167"/>
      <c r="BK79" s="167"/>
      <c r="BL79" s="167"/>
      <c r="BM79" s="167"/>
      <c r="BN79" s="167"/>
      <c r="BO79" s="167"/>
      <c r="BP79" s="167"/>
      <c r="BQ79" s="167"/>
      <c r="BR79" s="167"/>
      <c r="BS79" s="167"/>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row>
    <row r="80" spans="1:257" x14ac:dyDescent="0.3">
      <c r="A80" s="278" t="s">
        <v>186</v>
      </c>
      <c r="B80" s="432"/>
      <c r="C80" s="431"/>
      <c r="D80" s="431"/>
      <c r="E80" s="431"/>
      <c r="F80" s="388" t="s">
        <v>338</v>
      </c>
      <c r="G80" s="450">
        <v>0</v>
      </c>
      <c r="H80" s="430"/>
      <c r="I80" s="418" t="s">
        <v>96</v>
      </c>
      <c r="J80" s="92"/>
      <c r="K80" s="451">
        <v>60</v>
      </c>
      <c r="L80" s="452">
        <v>0</v>
      </c>
      <c r="M80" s="92"/>
      <c r="N80" s="551">
        <v>0</v>
      </c>
      <c r="O80" s="67" t="s">
        <v>68</v>
      </c>
      <c r="P80" s="68" t="s">
        <v>50</v>
      </c>
      <c r="Q80" s="389">
        <v>0</v>
      </c>
      <c r="R80" s="390" t="s">
        <v>68</v>
      </c>
      <c r="T80" s="680">
        <v>0</v>
      </c>
      <c r="U80" s="166"/>
      <c r="V80" s="166"/>
      <c r="W80" s="166"/>
      <c r="X80" s="682">
        <v>0</v>
      </c>
      <c r="Y80" s="166">
        <v>0</v>
      </c>
      <c r="Z80" s="682">
        <v>0</v>
      </c>
      <c r="AA80" s="166">
        <v>0</v>
      </c>
      <c r="AB80" s="166"/>
      <c r="AC80" s="166"/>
      <c r="AD80" s="166"/>
      <c r="AE80" s="166"/>
      <c r="AF80" s="167"/>
      <c r="AG80" s="167"/>
      <c r="AH80" s="167"/>
      <c r="AI80" s="167"/>
      <c r="AJ80" s="167"/>
      <c r="AK80" s="167"/>
      <c r="AL80" s="167"/>
      <c r="AM80" s="167"/>
      <c r="AN80" s="167"/>
      <c r="AO80" s="167"/>
      <c r="AP80" s="167"/>
      <c r="AQ80" s="167"/>
      <c r="AR80" s="167"/>
      <c r="AS80" s="167"/>
      <c r="AT80" s="167"/>
      <c r="AU80" s="167"/>
      <c r="AV80" s="167"/>
      <c r="AW80" s="167"/>
      <c r="AX80" s="167"/>
      <c r="AY80" s="167"/>
      <c r="AZ80" s="167"/>
      <c r="BA80" s="167"/>
      <c r="BB80" s="167"/>
      <c r="BC80" s="167"/>
      <c r="BD80" s="167"/>
      <c r="BE80" s="167"/>
      <c r="BF80" s="167"/>
      <c r="BG80" s="167"/>
      <c r="BH80" s="167"/>
      <c r="BI80" s="167"/>
      <c r="BJ80" s="167"/>
      <c r="BK80" s="167"/>
      <c r="BL80" s="167"/>
      <c r="BM80" s="167"/>
      <c r="BN80" s="167"/>
      <c r="BO80" s="167"/>
      <c r="BP80" s="167"/>
      <c r="BQ80" s="167"/>
      <c r="BR80" s="167"/>
      <c r="BS80" s="167"/>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c r="IJ80" s="2"/>
      <c r="IK80" s="2"/>
      <c r="IL80" s="2"/>
      <c r="IM80" s="2"/>
      <c r="IN80" s="2"/>
      <c r="IO80" s="2"/>
      <c r="IP80" s="2"/>
      <c r="IQ80" s="2"/>
      <c r="IR80" s="2"/>
      <c r="IS80" s="2"/>
      <c r="IT80" s="2"/>
      <c r="IU80" s="2"/>
      <c r="IV80" s="2"/>
      <c r="IW80" s="2"/>
    </row>
    <row r="81" spans="1:257" x14ac:dyDescent="0.3">
      <c r="A81" s="278" t="s">
        <v>185</v>
      </c>
      <c r="B81" s="432"/>
      <c r="C81" s="431"/>
      <c r="D81" s="431"/>
      <c r="E81" s="431"/>
      <c r="F81" s="388" t="s">
        <v>338</v>
      </c>
      <c r="G81" s="450">
        <v>0</v>
      </c>
      <c r="H81" s="430"/>
      <c r="I81" s="418" t="s">
        <v>96</v>
      </c>
      <c r="J81" s="92"/>
      <c r="K81" s="451">
        <v>150</v>
      </c>
      <c r="L81" s="452">
        <v>0</v>
      </c>
      <c r="M81" s="92"/>
      <c r="N81" s="551">
        <v>0</v>
      </c>
      <c r="O81" s="67" t="s">
        <v>68</v>
      </c>
      <c r="P81" s="68" t="s">
        <v>50</v>
      </c>
      <c r="Q81" s="389">
        <v>0</v>
      </c>
      <c r="R81" s="390" t="s">
        <v>68</v>
      </c>
      <c r="T81" s="680">
        <v>0</v>
      </c>
      <c r="U81" s="166"/>
      <c r="V81" s="166"/>
      <c r="W81" s="166"/>
      <c r="X81" s="682">
        <v>0</v>
      </c>
      <c r="Y81" s="166">
        <v>0</v>
      </c>
      <c r="Z81" s="682">
        <v>0</v>
      </c>
      <c r="AA81" s="166">
        <v>0</v>
      </c>
      <c r="AB81" s="166"/>
      <c r="AC81" s="166"/>
      <c r="AD81" s="166"/>
      <c r="AE81" s="166"/>
      <c r="AF81" s="167"/>
      <c r="AG81" s="167"/>
      <c r="AH81" s="167"/>
      <c r="AI81" s="167"/>
      <c r="AJ81" s="167"/>
      <c r="AK81" s="167"/>
      <c r="AL81" s="167"/>
      <c r="AM81" s="167"/>
      <c r="AN81" s="167"/>
      <c r="AO81" s="167"/>
      <c r="AP81" s="167"/>
      <c r="AQ81" s="167"/>
      <c r="AR81" s="167"/>
      <c r="AS81" s="167"/>
      <c r="AT81" s="167"/>
      <c r="AU81" s="167"/>
      <c r="AV81" s="167"/>
      <c r="AW81" s="167"/>
      <c r="AX81" s="167"/>
      <c r="AY81" s="167"/>
      <c r="AZ81" s="167"/>
      <c r="BA81" s="167"/>
      <c r="BB81" s="167"/>
      <c r="BC81" s="167"/>
      <c r="BD81" s="167"/>
      <c r="BE81" s="167"/>
      <c r="BF81" s="167"/>
      <c r="BG81" s="167"/>
      <c r="BH81" s="167"/>
      <c r="BI81" s="167"/>
      <c r="BJ81" s="167"/>
      <c r="BK81" s="167"/>
      <c r="BL81" s="167"/>
      <c r="BM81" s="167"/>
      <c r="BN81" s="167"/>
      <c r="BO81" s="167"/>
      <c r="BP81" s="167"/>
      <c r="BQ81" s="167"/>
      <c r="BR81" s="167"/>
      <c r="BS81" s="167"/>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row>
    <row r="82" spans="1:257" x14ac:dyDescent="0.3">
      <c r="A82" s="278" t="s">
        <v>238</v>
      </c>
      <c r="B82" s="432"/>
      <c r="C82" s="431"/>
      <c r="D82" s="431"/>
      <c r="E82" s="431"/>
      <c r="F82" s="388" t="s">
        <v>338</v>
      </c>
      <c r="G82" s="450">
        <v>0</v>
      </c>
      <c r="H82" s="430"/>
      <c r="I82" s="418" t="s">
        <v>227</v>
      </c>
      <c r="J82" s="92"/>
      <c r="K82" s="451">
        <v>700</v>
      </c>
      <c r="L82" s="452">
        <v>0</v>
      </c>
      <c r="M82" s="92"/>
      <c r="N82" s="551">
        <v>0</v>
      </c>
      <c r="O82" s="67" t="s">
        <v>228</v>
      </c>
      <c r="P82" s="68" t="s">
        <v>50</v>
      </c>
      <c r="Q82" s="389">
        <v>0</v>
      </c>
      <c r="R82" s="390" t="s">
        <v>228</v>
      </c>
      <c r="T82" s="680">
        <v>0</v>
      </c>
      <c r="U82" s="166"/>
      <c r="V82" s="166"/>
      <c r="W82" s="166"/>
      <c r="X82" s="682">
        <v>0</v>
      </c>
      <c r="Y82" s="166">
        <v>0</v>
      </c>
      <c r="Z82" s="682">
        <v>0</v>
      </c>
      <c r="AA82" s="166">
        <v>0</v>
      </c>
      <c r="AB82" s="166"/>
      <c r="AC82" s="166"/>
      <c r="AD82" s="166"/>
      <c r="AE82" s="166"/>
      <c r="AF82" s="167"/>
      <c r="AG82" s="167"/>
      <c r="AH82" s="167"/>
      <c r="AI82" s="167"/>
      <c r="AJ82" s="167"/>
      <c r="AK82" s="167"/>
      <c r="AL82" s="167"/>
      <c r="AM82" s="167"/>
      <c r="AN82" s="167"/>
      <c r="AO82" s="167"/>
      <c r="AP82" s="167"/>
      <c r="AQ82" s="167"/>
      <c r="AR82" s="167"/>
      <c r="AS82" s="167"/>
      <c r="AT82" s="167"/>
      <c r="AU82" s="167"/>
      <c r="AV82" s="167"/>
      <c r="AW82" s="167"/>
      <c r="AX82" s="167"/>
      <c r="AY82" s="167"/>
      <c r="AZ82" s="167"/>
      <c r="BA82" s="167"/>
      <c r="BB82" s="167"/>
      <c r="BC82" s="167"/>
      <c r="BD82" s="167"/>
      <c r="BE82" s="167"/>
      <c r="BF82" s="167"/>
      <c r="BG82" s="167"/>
      <c r="BH82" s="167"/>
      <c r="BI82" s="167"/>
      <c r="BJ82" s="167"/>
      <c r="BK82" s="167"/>
      <c r="BL82" s="167"/>
      <c r="BM82" s="167"/>
      <c r="BN82" s="167"/>
      <c r="BO82" s="167"/>
      <c r="BP82" s="167"/>
      <c r="BQ82" s="167"/>
      <c r="BR82" s="167"/>
      <c r="BS82" s="167"/>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row>
    <row r="83" spans="1:257" x14ac:dyDescent="0.3">
      <c r="A83" s="278" t="s">
        <v>239</v>
      </c>
      <c r="B83" s="432"/>
      <c r="C83" s="431"/>
      <c r="D83" s="431"/>
      <c r="E83" s="431"/>
      <c r="F83" s="388" t="s">
        <v>338</v>
      </c>
      <c r="G83" s="450">
        <v>0</v>
      </c>
      <c r="H83" s="430"/>
      <c r="I83" s="418" t="s">
        <v>227</v>
      </c>
      <c r="J83" s="92"/>
      <c r="K83" s="451">
        <v>0</v>
      </c>
      <c r="L83" s="452">
        <v>0</v>
      </c>
      <c r="M83" s="92"/>
      <c r="N83" s="551">
        <v>0</v>
      </c>
      <c r="O83" s="67" t="s">
        <v>228</v>
      </c>
      <c r="P83" s="68" t="s">
        <v>50</v>
      </c>
      <c r="Q83" s="389">
        <v>0</v>
      </c>
      <c r="R83" s="390" t="s">
        <v>228</v>
      </c>
      <c r="T83" s="680">
        <v>0</v>
      </c>
      <c r="U83" s="166"/>
      <c r="V83" s="166"/>
      <c r="W83" s="166"/>
      <c r="X83" s="682">
        <v>0</v>
      </c>
      <c r="Y83" s="166">
        <v>0</v>
      </c>
      <c r="Z83" s="682">
        <v>0</v>
      </c>
      <c r="AA83" s="166">
        <v>0</v>
      </c>
      <c r="AB83" s="166"/>
      <c r="AC83" s="166"/>
      <c r="AD83" s="166"/>
      <c r="AE83" s="166"/>
      <c r="AF83" s="167"/>
      <c r="AG83" s="167"/>
      <c r="AH83" s="167"/>
      <c r="AI83" s="167"/>
      <c r="AJ83" s="167"/>
      <c r="AK83" s="167"/>
      <c r="AL83" s="167"/>
      <c r="AM83" s="167"/>
      <c r="AN83" s="167"/>
      <c r="AO83" s="167"/>
      <c r="AP83" s="167"/>
      <c r="AQ83" s="167"/>
      <c r="AR83" s="167"/>
      <c r="AS83" s="167"/>
      <c r="AT83" s="167"/>
      <c r="AU83" s="167"/>
      <c r="AV83" s="167"/>
      <c r="AW83" s="167"/>
      <c r="AX83" s="167"/>
      <c r="AY83" s="167"/>
      <c r="AZ83" s="167"/>
      <c r="BA83" s="167"/>
      <c r="BB83" s="167"/>
      <c r="BC83" s="167"/>
      <c r="BD83" s="167"/>
      <c r="BE83" s="167"/>
      <c r="BF83" s="167"/>
      <c r="BG83" s="167"/>
      <c r="BH83" s="167"/>
      <c r="BI83" s="167"/>
      <c r="BJ83" s="167"/>
      <c r="BK83" s="167"/>
      <c r="BL83" s="167"/>
      <c r="BM83" s="167"/>
      <c r="BN83" s="167"/>
      <c r="BO83" s="167"/>
      <c r="BP83" s="167"/>
      <c r="BQ83" s="167"/>
      <c r="BR83" s="167"/>
      <c r="BS83" s="167"/>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c r="IJ83" s="2"/>
      <c r="IK83" s="2"/>
      <c r="IL83" s="2"/>
      <c r="IM83" s="2"/>
      <c r="IN83" s="2"/>
      <c r="IO83" s="2"/>
      <c r="IP83" s="2"/>
      <c r="IQ83" s="2"/>
      <c r="IR83" s="2"/>
      <c r="IS83" s="2"/>
      <c r="IT83" s="2"/>
      <c r="IU83" s="2"/>
      <c r="IV83" s="2"/>
      <c r="IW83" s="2"/>
    </row>
    <row r="84" spans="1:257" x14ac:dyDescent="0.3">
      <c r="A84" s="278" t="s">
        <v>240</v>
      </c>
      <c r="B84" s="432"/>
      <c r="C84" s="431"/>
      <c r="D84" s="431"/>
      <c r="E84" s="431"/>
      <c r="F84" s="388" t="s">
        <v>338</v>
      </c>
      <c r="G84" s="450">
        <v>0</v>
      </c>
      <c r="H84" s="430"/>
      <c r="I84" s="418" t="s">
        <v>227</v>
      </c>
      <c r="J84" s="92"/>
      <c r="K84" s="451">
        <v>0</v>
      </c>
      <c r="L84" s="452">
        <v>0</v>
      </c>
      <c r="M84" s="92"/>
      <c r="N84" s="551">
        <v>0</v>
      </c>
      <c r="O84" s="67" t="s">
        <v>228</v>
      </c>
      <c r="P84" s="68" t="s">
        <v>50</v>
      </c>
      <c r="Q84" s="389">
        <v>0</v>
      </c>
      <c r="R84" s="390" t="s">
        <v>228</v>
      </c>
      <c r="T84" s="680">
        <v>0</v>
      </c>
      <c r="U84" s="166"/>
      <c r="V84" s="166"/>
      <c r="W84" s="166"/>
      <c r="X84" s="682">
        <v>0</v>
      </c>
      <c r="Y84" s="166">
        <v>0</v>
      </c>
      <c r="Z84" s="682">
        <v>0</v>
      </c>
      <c r="AA84" s="166">
        <v>0</v>
      </c>
      <c r="AB84" s="166"/>
      <c r="AC84" s="166"/>
      <c r="AD84" s="166"/>
      <c r="AE84" s="166"/>
      <c r="AF84" s="167"/>
      <c r="AG84" s="167"/>
      <c r="AH84" s="167"/>
      <c r="AI84" s="167"/>
      <c r="AJ84" s="167"/>
      <c r="AK84" s="167"/>
      <c r="AL84" s="167"/>
      <c r="AM84" s="167"/>
      <c r="AN84" s="167"/>
      <c r="AO84" s="167"/>
      <c r="AP84" s="167"/>
      <c r="AQ84" s="167"/>
      <c r="AR84" s="167"/>
      <c r="AS84" s="167"/>
      <c r="AT84" s="167"/>
      <c r="AU84" s="167"/>
      <c r="AV84" s="167"/>
      <c r="AW84" s="167"/>
      <c r="AX84" s="167"/>
      <c r="AY84" s="167"/>
      <c r="AZ84" s="167"/>
      <c r="BA84" s="167"/>
      <c r="BB84" s="167"/>
      <c r="BC84" s="167"/>
      <c r="BD84" s="167"/>
      <c r="BE84" s="167"/>
      <c r="BF84" s="167"/>
      <c r="BG84" s="167"/>
      <c r="BH84" s="167"/>
      <c r="BI84" s="167"/>
      <c r="BJ84" s="167"/>
      <c r="BK84" s="167"/>
      <c r="BL84" s="167"/>
      <c r="BM84" s="167"/>
      <c r="BN84" s="167"/>
      <c r="BO84" s="167"/>
      <c r="BP84" s="167"/>
      <c r="BQ84" s="167"/>
      <c r="BR84" s="167"/>
      <c r="BS84" s="167"/>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c r="IJ84" s="2"/>
      <c r="IK84" s="2"/>
      <c r="IL84" s="2"/>
      <c r="IM84" s="2"/>
      <c r="IN84" s="2"/>
      <c r="IO84" s="2"/>
      <c r="IP84" s="2"/>
      <c r="IQ84" s="2"/>
      <c r="IR84" s="2"/>
      <c r="IS84" s="2"/>
      <c r="IT84" s="2"/>
      <c r="IU84" s="2"/>
      <c r="IV84" s="2"/>
      <c r="IW84" s="2"/>
    </row>
    <row r="85" spans="1:257" x14ac:dyDescent="0.3">
      <c r="A85" s="278" t="s">
        <v>189</v>
      </c>
      <c r="B85" s="432"/>
      <c r="C85" s="431"/>
      <c r="D85" s="431"/>
      <c r="E85" s="431"/>
      <c r="F85" s="388" t="s">
        <v>338</v>
      </c>
      <c r="G85" s="450">
        <v>0</v>
      </c>
      <c r="H85" s="430"/>
      <c r="I85" s="418" t="s">
        <v>227</v>
      </c>
      <c r="J85" s="92"/>
      <c r="K85" s="451">
        <v>0</v>
      </c>
      <c r="L85" s="452">
        <v>0</v>
      </c>
      <c r="M85" s="92"/>
      <c r="N85" s="551">
        <v>0</v>
      </c>
      <c r="O85" s="67" t="s">
        <v>228</v>
      </c>
      <c r="P85" s="68" t="s">
        <v>50</v>
      </c>
      <c r="Q85" s="389">
        <v>0</v>
      </c>
      <c r="R85" s="390" t="s">
        <v>228</v>
      </c>
      <c r="T85" s="680">
        <v>0</v>
      </c>
      <c r="U85" s="166"/>
      <c r="V85" s="166"/>
      <c r="W85" s="166"/>
      <c r="X85" s="682">
        <v>0</v>
      </c>
      <c r="Y85" s="166">
        <v>0</v>
      </c>
      <c r="Z85" s="682">
        <v>0</v>
      </c>
      <c r="AA85" s="166">
        <v>0</v>
      </c>
      <c r="AB85" s="166"/>
      <c r="AC85" s="166"/>
      <c r="AD85" s="166"/>
      <c r="AE85" s="166"/>
      <c r="AF85" s="167"/>
      <c r="AG85" s="167"/>
      <c r="AH85" s="167"/>
      <c r="AI85" s="167"/>
      <c r="AJ85" s="167"/>
      <c r="AK85" s="167"/>
      <c r="AL85" s="167"/>
      <c r="AM85" s="167"/>
      <c r="AN85" s="167"/>
      <c r="AO85" s="167"/>
      <c r="AP85" s="167"/>
      <c r="AQ85" s="167"/>
      <c r="AR85" s="167"/>
      <c r="AS85" s="167"/>
      <c r="AT85" s="167"/>
      <c r="AU85" s="167"/>
      <c r="AV85" s="167"/>
      <c r="AW85" s="167"/>
      <c r="AX85" s="167"/>
      <c r="AY85" s="167"/>
      <c r="AZ85" s="167"/>
      <c r="BA85" s="167"/>
      <c r="BB85" s="167"/>
      <c r="BC85" s="167"/>
      <c r="BD85" s="167"/>
      <c r="BE85" s="167"/>
      <c r="BF85" s="167"/>
      <c r="BG85" s="167"/>
      <c r="BH85" s="167"/>
      <c r="BI85" s="167"/>
      <c r="BJ85" s="167"/>
      <c r="BK85" s="167"/>
      <c r="BL85" s="167"/>
      <c r="BM85" s="167"/>
      <c r="BN85" s="167"/>
      <c r="BO85" s="167"/>
      <c r="BP85" s="167"/>
      <c r="BQ85" s="167"/>
      <c r="BR85" s="167"/>
      <c r="BS85" s="167"/>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c r="IJ85" s="2"/>
      <c r="IK85" s="2"/>
      <c r="IL85" s="2"/>
      <c r="IM85" s="2"/>
      <c r="IN85" s="2"/>
      <c r="IO85" s="2"/>
      <c r="IP85" s="2"/>
      <c r="IQ85" s="2"/>
      <c r="IR85" s="2"/>
      <c r="IS85" s="2"/>
      <c r="IT85" s="2"/>
      <c r="IU85" s="2"/>
      <c r="IV85" s="2"/>
      <c r="IW85" s="2"/>
    </row>
    <row r="86" spans="1:257" x14ac:dyDescent="0.3">
      <c r="A86" s="278" t="s">
        <v>242</v>
      </c>
      <c r="B86" s="432"/>
      <c r="C86" s="431"/>
      <c r="D86" s="431"/>
      <c r="E86" s="431"/>
      <c r="F86" s="388" t="s">
        <v>338</v>
      </c>
      <c r="G86" s="450">
        <v>0</v>
      </c>
      <c r="H86" s="430"/>
      <c r="I86" s="418" t="s">
        <v>96</v>
      </c>
      <c r="J86" s="92"/>
      <c r="K86" s="451">
        <v>0</v>
      </c>
      <c r="L86" s="452">
        <v>0</v>
      </c>
      <c r="M86" s="92"/>
      <c r="N86" s="551">
        <v>0</v>
      </c>
      <c r="O86" s="67" t="s">
        <v>68</v>
      </c>
      <c r="P86" s="68" t="s">
        <v>50</v>
      </c>
      <c r="Q86" s="389">
        <v>0</v>
      </c>
      <c r="R86" s="390" t="s">
        <v>68</v>
      </c>
      <c r="T86" s="680">
        <v>0</v>
      </c>
      <c r="U86" s="166"/>
      <c r="V86" s="166"/>
      <c r="W86" s="166"/>
      <c r="X86" s="682">
        <v>0</v>
      </c>
      <c r="Y86" s="166">
        <v>0</v>
      </c>
      <c r="Z86" s="682">
        <v>0</v>
      </c>
      <c r="AA86" s="166">
        <v>0</v>
      </c>
      <c r="AB86" s="166"/>
      <c r="AC86" s="166"/>
      <c r="AD86" s="166"/>
      <c r="AE86" s="166"/>
      <c r="AF86" s="167"/>
      <c r="AG86" s="167"/>
      <c r="AH86" s="167"/>
      <c r="AI86" s="167"/>
      <c r="AJ86" s="167"/>
      <c r="AK86" s="167"/>
      <c r="AL86" s="167"/>
      <c r="AM86" s="167"/>
      <c r="AN86" s="167"/>
      <c r="AO86" s="167"/>
      <c r="AP86" s="167"/>
      <c r="AQ86" s="167"/>
      <c r="AR86" s="167"/>
      <c r="AS86" s="167"/>
      <c r="AT86" s="167"/>
      <c r="AU86" s="167"/>
      <c r="AV86" s="167"/>
      <c r="AW86" s="167"/>
      <c r="AX86" s="167"/>
      <c r="AY86" s="167"/>
      <c r="AZ86" s="167"/>
      <c r="BA86" s="167"/>
      <c r="BB86" s="167"/>
      <c r="BC86" s="167"/>
      <c r="BD86" s="167"/>
      <c r="BE86" s="167"/>
      <c r="BF86" s="167"/>
      <c r="BG86" s="167"/>
      <c r="BH86" s="167"/>
      <c r="BI86" s="167"/>
      <c r="BJ86" s="167"/>
      <c r="BK86" s="167"/>
      <c r="BL86" s="167"/>
      <c r="BM86" s="167"/>
      <c r="BN86" s="167"/>
      <c r="BO86" s="167"/>
      <c r="BP86" s="167"/>
      <c r="BQ86" s="167"/>
      <c r="BR86" s="167"/>
      <c r="BS86" s="167"/>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row>
    <row r="87" spans="1:257" x14ac:dyDescent="0.3">
      <c r="A87" s="278" t="s">
        <v>241</v>
      </c>
      <c r="B87" s="432"/>
      <c r="C87" s="431"/>
      <c r="D87" s="431"/>
      <c r="E87" s="431"/>
      <c r="F87" s="388" t="s">
        <v>338</v>
      </c>
      <c r="G87" s="450">
        <v>0</v>
      </c>
      <c r="H87" s="430"/>
      <c r="I87" s="418" t="s">
        <v>96</v>
      </c>
      <c r="J87" s="92"/>
      <c r="K87" s="451">
        <v>0</v>
      </c>
      <c r="L87" s="452">
        <v>0</v>
      </c>
      <c r="M87" s="92"/>
      <c r="N87" s="551">
        <v>0</v>
      </c>
      <c r="O87" s="67" t="s">
        <v>68</v>
      </c>
      <c r="P87" s="68" t="s">
        <v>50</v>
      </c>
      <c r="Q87" s="389">
        <v>0</v>
      </c>
      <c r="R87" s="390" t="s">
        <v>68</v>
      </c>
      <c r="T87" s="680">
        <v>0</v>
      </c>
      <c r="U87" s="166"/>
      <c r="V87" s="166"/>
      <c r="W87" s="166"/>
      <c r="X87" s="682">
        <v>0</v>
      </c>
      <c r="Y87" s="166">
        <v>0</v>
      </c>
      <c r="Z87" s="682">
        <v>0</v>
      </c>
      <c r="AA87" s="166">
        <v>0</v>
      </c>
      <c r="AB87" s="166"/>
      <c r="AC87" s="166"/>
      <c r="AD87" s="166"/>
      <c r="AE87" s="166"/>
      <c r="AF87" s="167"/>
      <c r="AG87" s="167"/>
      <c r="AH87" s="167"/>
      <c r="AI87" s="167"/>
      <c r="AJ87" s="167"/>
      <c r="AK87" s="167"/>
      <c r="AL87" s="167"/>
      <c r="AM87" s="167"/>
      <c r="AN87" s="167"/>
      <c r="AO87" s="167"/>
      <c r="AP87" s="167"/>
      <c r="AQ87" s="167"/>
      <c r="AR87" s="167"/>
      <c r="AS87" s="167"/>
      <c r="AT87" s="167"/>
      <c r="AU87" s="167"/>
      <c r="AV87" s="167"/>
      <c r="AW87" s="167"/>
      <c r="AX87" s="167"/>
      <c r="AY87" s="167"/>
      <c r="AZ87" s="167"/>
      <c r="BA87" s="167"/>
      <c r="BB87" s="167"/>
      <c r="BC87" s="167"/>
      <c r="BD87" s="167"/>
      <c r="BE87" s="167"/>
      <c r="BF87" s="167"/>
      <c r="BG87" s="167"/>
      <c r="BH87" s="167"/>
      <c r="BI87" s="167"/>
      <c r="BJ87" s="167"/>
      <c r="BK87" s="167"/>
      <c r="BL87" s="167"/>
      <c r="BM87" s="167"/>
      <c r="BN87" s="167"/>
      <c r="BO87" s="167"/>
      <c r="BP87" s="167"/>
      <c r="BQ87" s="167"/>
      <c r="BR87" s="167"/>
      <c r="BS87" s="167"/>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row>
    <row r="88" spans="1:257" x14ac:dyDescent="0.3">
      <c r="A88" s="301"/>
      <c r="B88" s="420" t="s">
        <v>247</v>
      </c>
      <c r="C88" s="92"/>
      <c r="D88" s="92"/>
      <c r="E88" s="92"/>
      <c r="F88" s="92"/>
      <c r="G88" s="92"/>
      <c r="H88" s="92"/>
      <c r="I88" s="92"/>
      <c r="J88" s="92"/>
      <c r="K88" s="92"/>
      <c r="L88" s="147"/>
      <c r="M88" s="92"/>
      <c r="N88" s="66"/>
      <c r="O88" s="67"/>
      <c r="P88" s="68"/>
      <c r="Q88" s="95"/>
      <c r="R88" s="70"/>
      <c r="T88" s="167"/>
      <c r="U88" s="166"/>
      <c r="V88" s="166"/>
      <c r="W88" s="166"/>
      <c r="X88" s="683">
        <v>4</v>
      </c>
      <c r="Y88" s="684">
        <v>4</v>
      </c>
      <c r="Z88" s="683">
        <v>0</v>
      </c>
      <c r="AA88" s="684">
        <v>3</v>
      </c>
      <c r="AB88" s="166"/>
      <c r="AC88" s="166"/>
      <c r="AD88" s="166"/>
      <c r="AE88" s="166"/>
      <c r="AF88" s="167"/>
      <c r="AG88" s="167"/>
      <c r="AH88" s="167"/>
      <c r="AI88" s="167"/>
      <c r="AJ88" s="167"/>
      <c r="AK88" s="167"/>
      <c r="AL88" s="167"/>
      <c r="AM88" s="167"/>
      <c r="AN88" s="167"/>
      <c r="AO88" s="167"/>
      <c r="AP88" s="167"/>
      <c r="AQ88" s="167"/>
      <c r="AR88" s="167"/>
      <c r="AS88" s="167"/>
      <c r="AT88" s="167"/>
      <c r="AU88" s="167"/>
      <c r="AV88" s="167"/>
      <c r="AW88" s="167"/>
      <c r="AX88" s="167"/>
      <c r="AY88" s="167"/>
      <c r="AZ88" s="167"/>
      <c r="BA88" s="167"/>
      <c r="BB88" s="167"/>
      <c r="BC88" s="167"/>
      <c r="BD88" s="167"/>
      <c r="BE88" s="167"/>
      <c r="BF88" s="167"/>
      <c r="BG88" s="167"/>
      <c r="BH88" s="167"/>
      <c r="BI88" s="167"/>
      <c r="BJ88" s="167"/>
      <c r="BK88" s="167"/>
      <c r="BL88" s="167"/>
      <c r="BM88" s="167"/>
      <c r="BN88" s="167"/>
      <c r="BO88" s="167"/>
      <c r="BP88" s="167"/>
      <c r="BQ88" s="167"/>
      <c r="BR88" s="167"/>
      <c r="BS88" s="167"/>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c r="IJ88" s="2"/>
      <c r="IK88" s="2"/>
      <c r="IL88" s="2"/>
      <c r="IM88" s="2"/>
      <c r="IN88" s="2"/>
      <c r="IO88" s="2"/>
      <c r="IP88" s="2"/>
      <c r="IQ88" s="2"/>
      <c r="IR88" s="2"/>
      <c r="IS88" s="2"/>
      <c r="IT88" s="2"/>
      <c r="IU88" s="2"/>
      <c r="IV88" s="2"/>
      <c r="IW88" s="2"/>
    </row>
    <row r="89" spans="1:257" ht="8.1" customHeight="1" x14ac:dyDescent="0.3">
      <c r="A89" s="82"/>
      <c r="B89" s="48"/>
      <c r="C89" s="83"/>
      <c r="D89" s="83"/>
      <c r="E89" s="83"/>
      <c r="F89" s="83"/>
      <c r="G89" s="83"/>
      <c r="H89" s="83"/>
      <c r="I89" s="83"/>
      <c r="J89" s="83"/>
      <c r="K89" s="83"/>
      <c r="L89" s="83"/>
      <c r="M89" s="83"/>
      <c r="N89" s="84"/>
      <c r="O89" s="85"/>
      <c r="P89" s="86"/>
      <c r="Q89" s="83"/>
      <c r="R89" s="87"/>
      <c r="T89" s="167"/>
      <c r="U89" s="166"/>
      <c r="V89" s="166"/>
      <c r="W89" s="166"/>
      <c r="X89" s="166"/>
      <c r="Y89" s="166"/>
      <c r="Z89" s="166"/>
      <c r="AA89" s="166"/>
      <c r="AB89" s="166"/>
      <c r="AC89" s="166"/>
      <c r="AD89" s="166"/>
      <c r="AE89" s="166"/>
      <c r="AF89" s="167"/>
      <c r="AG89" s="167"/>
      <c r="AH89" s="167"/>
      <c r="AI89" s="167"/>
      <c r="AJ89" s="167"/>
      <c r="AK89" s="167"/>
      <c r="AL89" s="167"/>
      <c r="AM89" s="167"/>
      <c r="AN89" s="167"/>
      <c r="AO89" s="167"/>
      <c r="AP89" s="167"/>
      <c r="AQ89" s="167"/>
      <c r="AR89" s="167"/>
      <c r="AS89" s="167"/>
      <c r="AT89" s="167"/>
      <c r="AU89" s="167"/>
      <c r="AV89" s="167"/>
      <c r="AW89" s="167"/>
      <c r="AX89" s="167"/>
      <c r="AY89" s="167"/>
      <c r="AZ89" s="167"/>
      <c r="BA89" s="167"/>
      <c r="BB89" s="167"/>
      <c r="BC89" s="167"/>
      <c r="BD89" s="167"/>
      <c r="BE89" s="167"/>
      <c r="BF89" s="167"/>
      <c r="BG89" s="167"/>
      <c r="BH89" s="167"/>
      <c r="BI89" s="167"/>
      <c r="BJ89" s="167"/>
      <c r="BK89" s="167"/>
      <c r="BL89" s="167"/>
      <c r="BM89" s="167"/>
      <c r="BN89" s="167"/>
      <c r="BO89" s="167"/>
      <c r="BP89" s="167"/>
      <c r="BQ89" s="167"/>
      <c r="BR89" s="167"/>
      <c r="BS89" s="167"/>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row>
    <row r="90" spans="1:257" ht="8.1" customHeight="1" x14ac:dyDescent="0.3">
      <c r="A90" s="12"/>
      <c r="B90" s="12"/>
      <c r="C90" s="16"/>
      <c r="D90" s="16"/>
      <c r="E90" s="16"/>
      <c r="F90" s="16"/>
      <c r="G90" s="16"/>
      <c r="H90" s="16"/>
      <c r="I90" s="16"/>
      <c r="J90" s="16"/>
      <c r="K90" s="16"/>
      <c r="L90" s="16"/>
      <c r="M90" s="16"/>
      <c r="N90" s="51"/>
      <c r="O90" s="88"/>
      <c r="P90" s="53"/>
      <c r="Q90" s="16"/>
      <c r="R90" s="17"/>
      <c r="T90" s="167"/>
      <c r="U90" s="166"/>
      <c r="V90" s="166"/>
      <c r="W90" s="166"/>
      <c r="X90" s="166"/>
      <c r="Y90" s="166"/>
      <c r="Z90" s="166"/>
      <c r="AA90" s="166"/>
      <c r="AB90" s="166"/>
      <c r="AC90" s="166"/>
      <c r="AD90" s="166"/>
      <c r="AE90" s="166"/>
      <c r="AF90" s="167"/>
      <c r="AG90" s="167"/>
      <c r="AH90" s="167"/>
      <c r="AI90" s="167"/>
      <c r="AJ90" s="167"/>
      <c r="AK90" s="167"/>
      <c r="AL90" s="167"/>
      <c r="AM90" s="167"/>
      <c r="AN90" s="167"/>
      <c r="AO90" s="167"/>
      <c r="AP90" s="167"/>
      <c r="AQ90" s="167"/>
      <c r="AR90" s="167"/>
      <c r="AS90" s="167"/>
      <c r="AT90" s="167"/>
      <c r="AU90" s="167"/>
      <c r="AV90" s="167"/>
      <c r="AW90" s="167"/>
      <c r="AX90" s="167"/>
      <c r="AY90" s="167"/>
      <c r="AZ90" s="167"/>
      <c r="BA90" s="167"/>
      <c r="BB90" s="167"/>
      <c r="BC90" s="167"/>
      <c r="BD90" s="167"/>
      <c r="BE90" s="167"/>
      <c r="BF90" s="167"/>
      <c r="BG90" s="167"/>
      <c r="BH90" s="167"/>
      <c r="BI90" s="167"/>
      <c r="BJ90" s="167"/>
      <c r="BK90" s="167"/>
      <c r="BL90" s="167"/>
      <c r="BM90" s="167"/>
      <c r="BN90" s="167"/>
      <c r="BO90" s="167"/>
      <c r="BP90" s="167"/>
      <c r="BQ90" s="167"/>
      <c r="BR90" s="167"/>
      <c r="BS90" s="167"/>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row>
    <row r="91" spans="1:257" ht="15.6" x14ac:dyDescent="0.3">
      <c r="A91" s="18" t="s">
        <v>65</v>
      </c>
      <c r="B91" s="19"/>
      <c r="C91" s="20"/>
      <c r="D91" s="20"/>
      <c r="E91" s="20"/>
      <c r="F91" s="20"/>
      <c r="G91" s="20"/>
      <c r="H91" s="20"/>
      <c r="I91" s="20"/>
      <c r="J91" s="20"/>
      <c r="K91" s="20"/>
      <c r="L91" s="20"/>
      <c r="M91" s="20"/>
      <c r="N91" s="55"/>
      <c r="O91" s="89"/>
      <c r="P91" s="57"/>
      <c r="R91" s="34"/>
      <c r="T91" s="167"/>
      <c r="U91" s="166"/>
      <c r="V91" s="166"/>
      <c r="W91" s="166"/>
      <c r="X91" s="166"/>
      <c r="Y91" s="166"/>
      <c r="Z91" s="166"/>
      <c r="AA91" s="166"/>
      <c r="AB91" s="166"/>
      <c r="AC91" s="166"/>
      <c r="AD91" s="166"/>
      <c r="AE91" s="166"/>
      <c r="AF91" s="167"/>
      <c r="AG91" s="167"/>
      <c r="AH91" s="167"/>
      <c r="AI91" s="167"/>
      <c r="AJ91" s="167"/>
      <c r="AK91" s="167"/>
      <c r="AL91" s="167"/>
      <c r="AM91" s="167"/>
      <c r="AN91" s="167"/>
      <c r="AO91" s="167"/>
      <c r="AP91" s="167"/>
      <c r="AQ91" s="167"/>
      <c r="AR91" s="167"/>
      <c r="AS91" s="167"/>
      <c r="AT91" s="167"/>
      <c r="AU91" s="167"/>
      <c r="AV91" s="167"/>
      <c r="AW91" s="167"/>
      <c r="AX91" s="167"/>
      <c r="AY91" s="167"/>
      <c r="AZ91" s="167"/>
      <c r="BA91" s="167"/>
      <c r="BB91" s="167"/>
      <c r="BC91" s="167"/>
      <c r="BD91" s="167"/>
      <c r="BE91" s="167"/>
      <c r="BF91" s="167"/>
      <c r="BG91" s="167"/>
      <c r="BH91" s="167"/>
      <c r="BI91" s="167"/>
      <c r="BJ91" s="167"/>
      <c r="BK91" s="167"/>
      <c r="BL91" s="167"/>
      <c r="BM91" s="167"/>
      <c r="BN91" s="167"/>
      <c r="BO91" s="167"/>
      <c r="BP91" s="167"/>
      <c r="BQ91" s="167"/>
      <c r="BR91" s="167"/>
      <c r="BS91" s="167"/>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row>
    <row r="92" spans="1:257" ht="8.1" customHeight="1" x14ac:dyDescent="0.3">
      <c r="A92" s="26"/>
      <c r="B92" s="26"/>
      <c r="C92" s="3"/>
      <c r="D92" s="3"/>
      <c r="E92" s="3"/>
      <c r="F92" s="3"/>
      <c r="G92" s="3"/>
      <c r="H92" s="3"/>
      <c r="I92" s="3"/>
      <c r="J92" s="3"/>
      <c r="K92" s="3"/>
      <c r="L92" s="3"/>
      <c r="M92" s="3"/>
      <c r="N92" s="58"/>
      <c r="O92" s="62"/>
      <c r="P92" s="57"/>
      <c r="R92" s="34"/>
      <c r="T92" s="167"/>
      <c r="U92" s="166"/>
      <c r="V92" s="166"/>
      <c r="W92" s="166"/>
      <c r="X92" s="166"/>
      <c r="Y92" s="166"/>
      <c r="Z92" s="166"/>
      <c r="AA92" s="166"/>
      <c r="AB92" s="166"/>
      <c r="AC92" s="166"/>
      <c r="AD92" s="166"/>
      <c r="AE92" s="166"/>
      <c r="AF92" s="167"/>
      <c r="AG92" s="167"/>
      <c r="AH92" s="167"/>
      <c r="AI92" s="167"/>
      <c r="AJ92" s="167"/>
      <c r="AK92" s="167"/>
      <c r="AL92" s="167"/>
      <c r="AM92" s="167"/>
      <c r="AN92" s="167"/>
      <c r="AO92" s="167"/>
      <c r="AP92" s="167"/>
      <c r="AQ92" s="167"/>
      <c r="AR92" s="167"/>
      <c r="AS92" s="167"/>
      <c r="AT92" s="167"/>
      <c r="AU92" s="167"/>
      <c r="AV92" s="167"/>
      <c r="AW92" s="167"/>
      <c r="AX92" s="167"/>
      <c r="AY92" s="167"/>
      <c r="AZ92" s="167"/>
      <c r="BA92" s="167"/>
      <c r="BB92" s="167"/>
      <c r="BC92" s="167"/>
      <c r="BD92" s="167"/>
      <c r="BE92" s="167"/>
      <c r="BF92" s="167"/>
      <c r="BG92" s="167"/>
      <c r="BH92" s="167"/>
      <c r="BI92" s="167"/>
      <c r="BJ92" s="167"/>
      <c r="BK92" s="167"/>
      <c r="BL92" s="167"/>
      <c r="BM92" s="167"/>
      <c r="BN92" s="167"/>
      <c r="BO92" s="167"/>
      <c r="BP92" s="167"/>
      <c r="BQ92" s="167"/>
      <c r="BR92" s="167"/>
      <c r="BS92" s="167"/>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row>
    <row r="93" spans="1:257" ht="12.75" customHeight="1" x14ac:dyDescent="0.3">
      <c r="A93" s="39" t="s">
        <v>128</v>
      </c>
      <c r="B93" s="198">
        <v>11543</v>
      </c>
      <c r="C93" s="28" t="s">
        <v>103</v>
      </c>
      <c r="E93" s="41"/>
      <c r="F93" s="41"/>
      <c r="G93" s="41"/>
      <c r="H93" s="41"/>
      <c r="I93" s="41"/>
      <c r="J93" s="41"/>
      <c r="K93" s="41"/>
      <c r="N93" s="93"/>
      <c r="O93" s="62"/>
      <c r="P93" s="57"/>
      <c r="Q93" s="40"/>
      <c r="R93" s="34"/>
      <c r="T93" s="167"/>
      <c r="U93" s="166"/>
      <c r="V93" s="166"/>
      <c r="W93" s="166"/>
      <c r="X93" s="166"/>
      <c r="Y93" s="166"/>
      <c r="Z93" s="166"/>
      <c r="AA93" s="166"/>
      <c r="AB93" s="166"/>
      <c r="AC93" s="166"/>
      <c r="AD93" s="166"/>
      <c r="AE93" s="166"/>
      <c r="AF93" s="167"/>
      <c r="AG93" s="167"/>
      <c r="AH93" s="167"/>
      <c r="AI93" s="167"/>
      <c r="AJ93" s="167"/>
      <c r="AK93" s="167"/>
      <c r="AL93" s="167"/>
      <c r="AM93" s="167"/>
      <c r="AN93" s="167"/>
      <c r="AO93" s="167"/>
      <c r="AP93" s="167"/>
      <c r="AQ93" s="167"/>
      <c r="AR93" s="167"/>
      <c r="AS93" s="167"/>
      <c r="AT93" s="167"/>
      <c r="AU93" s="167"/>
      <c r="AV93" s="167"/>
      <c r="AW93" s="167"/>
      <c r="AX93" s="167"/>
      <c r="AY93" s="167"/>
      <c r="AZ93" s="167"/>
      <c r="BA93" s="167"/>
      <c r="BB93" s="167"/>
      <c r="BC93" s="167"/>
      <c r="BD93" s="167"/>
      <c r="BE93" s="167"/>
      <c r="BF93" s="167"/>
      <c r="BG93" s="167"/>
      <c r="BH93" s="167"/>
      <c r="BI93" s="167"/>
      <c r="BJ93" s="167"/>
      <c r="BK93" s="167"/>
      <c r="BL93" s="167"/>
      <c r="BM93" s="167"/>
      <c r="BN93" s="167"/>
      <c r="BO93" s="167"/>
      <c r="BP93" s="167"/>
      <c r="BQ93" s="167"/>
      <c r="BR93" s="167"/>
      <c r="BS93" s="167"/>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row>
    <row r="94" spans="1:257" ht="12.75" customHeight="1" x14ac:dyDescent="0.3">
      <c r="A94" s="26" t="s">
        <v>129</v>
      </c>
      <c r="B94" s="199">
        <v>0.57999999999999996</v>
      </c>
      <c r="C94" s="28" t="s">
        <v>130</v>
      </c>
      <c r="E94" s="27"/>
      <c r="F94" s="27"/>
      <c r="G94" s="27"/>
      <c r="H94" s="161"/>
      <c r="I94" s="161"/>
      <c r="J94" s="161"/>
      <c r="K94" s="161"/>
      <c r="L94" s="41">
        <v>19901.724137931036</v>
      </c>
      <c r="M94" s="2" t="s">
        <v>78</v>
      </c>
      <c r="N94" s="93"/>
      <c r="O94" s="62"/>
      <c r="P94" s="57"/>
      <c r="Q94" s="40"/>
      <c r="R94" s="34"/>
      <c r="T94" s="167"/>
      <c r="U94" s="166"/>
      <c r="V94" s="166"/>
      <c r="W94" s="166"/>
      <c r="X94" s="166"/>
      <c r="Y94" s="166"/>
      <c r="Z94" s="166"/>
      <c r="AA94" s="166"/>
      <c r="AB94" s="166"/>
      <c r="AC94" s="166"/>
      <c r="AD94" s="166"/>
      <c r="AE94" s="166"/>
      <c r="AF94" s="167"/>
      <c r="AG94" s="167"/>
      <c r="AH94" s="167"/>
      <c r="AI94" s="167"/>
      <c r="AJ94" s="167"/>
      <c r="AK94" s="167"/>
      <c r="AL94" s="167"/>
      <c r="AM94" s="167"/>
      <c r="AN94" s="167"/>
      <c r="AO94" s="167"/>
      <c r="AP94" s="167"/>
      <c r="AQ94" s="167"/>
      <c r="AR94" s="167"/>
      <c r="AS94" s="167"/>
      <c r="AT94" s="167"/>
      <c r="AU94" s="167"/>
      <c r="AV94" s="167"/>
      <c r="AW94" s="167"/>
      <c r="AX94" s="167"/>
      <c r="AY94" s="167"/>
      <c r="AZ94" s="167"/>
      <c r="BA94" s="167"/>
      <c r="BB94" s="167"/>
      <c r="BC94" s="167"/>
      <c r="BD94" s="167"/>
      <c r="BE94" s="167"/>
      <c r="BF94" s="167"/>
      <c r="BG94" s="167"/>
      <c r="BH94" s="167"/>
      <c r="BI94" s="167"/>
      <c r="BJ94" s="167"/>
      <c r="BK94" s="167"/>
      <c r="BL94" s="167"/>
      <c r="BM94" s="167"/>
      <c r="BN94" s="167"/>
      <c r="BO94" s="167"/>
      <c r="BP94" s="167"/>
      <c r="BQ94" s="167"/>
      <c r="BR94" s="167"/>
      <c r="BS94" s="167"/>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row>
    <row r="95" spans="1:257" ht="8.1" customHeight="1" x14ac:dyDescent="0.3">
      <c r="A95" s="26"/>
      <c r="B95" s="26"/>
      <c r="C95" s="3"/>
      <c r="D95" s="3"/>
      <c r="E95" s="3"/>
      <c r="F95" s="3"/>
      <c r="G95" s="3"/>
      <c r="H95" s="162"/>
      <c r="I95" s="162"/>
      <c r="J95" s="162"/>
      <c r="K95" s="162"/>
      <c r="L95" s="3"/>
      <c r="M95" s="3"/>
      <c r="N95" s="26"/>
      <c r="O95" s="96"/>
      <c r="P95" s="57"/>
      <c r="R95" s="34"/>
      <c r="T95" s="167"/>
      <c r="U95" s="166"/>
      <c r="V95" s="166"/>
      <c r="W95" s="166"/>
      <c r="X95" s="166"/>
      <c r="Y95" s="166"/>
      <c r="Z95" s="166"/>
      <c r="AA95" s="166"/>
      <c r="AB95" s="166"/>
      <c r="AC95" s="166"/>
      <c r="AD95" s="166"/>
      <c r="AE95" s="166"/>
      <c r="AF95" s="167"/>
      <c r="AG95" s="167"/>
      <c r="AH95" s="167"/>
      <c r="AI95" s="167"/>
      <c r="AJ95" s="167"/>
      <c r="AK95" s="167"/>
      <c r="AL95" s="167"/>
      <c r="AM95" s="167"/>
      <c r="AN95" s="167"/>
      <c r="AO95" s="167"/>
      <c r="AP95" s="167"/>
      <c r="AQ95" s="167"/>
      <c r="AR95" s="167"/>
      <c r="AS95" s="167"/>
      <c r="AT95" s="167"/>
      <c r="AU95" s="167"/>
      <c r="AV95" s="167"/>
      <c r="AW95" s="167"/>
      <c r="AX95" s="167"/>
      <c r="AY95" s="167"/>
      <c r="AZ95" s="167"/>
      <c r="BA95" s="167"/>
      <c r="BB95" s="167"/>
      <c r="BC95" s="167"/>
      <c r="BD95" s="167"/>
      <c r="BE95" s="167"/>
      <c r="BF95" s="167"/>
      <c r="BG95" s="167"/>
      <c r="BH95" s="167"/>
      <c r="BI95" s="167"/>
      <c r="BJ95" s="167"/>
      <c r="BK95" s="167"/>
      <c r="BL95" s="167"/>
      <c r="BM95" s="167"/>
      <c r="BN95" s="167"/>
      <c r="BO95" s="167"/>
      <c r="BP95" s="167"/>
      <c r="BQ95" s="167"/>
      <c r="BR95" s="167"/>
      <c r="BS95" s="167"/>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row>
    <row r="96" spans="1:257" ht="12.75" customHeight="1" x14ac:dyDescent="0.3">
      <c r="A96" s="39" t="s">
        <v>131</v>
      </c>
      <c r="B96" s="97"/>
      <c r="C96" s="27"/>
      <c r="D96" s="27"/>
      <c r="E96" s="27"/>
      <c r="F96" s="27"/>
      <c r="G96" s="27"/>
      <c r="H96" s="161"/>
      <c r="I96" s="164"/>
      <c r="J96" s="164"/>
      <c r="K96" s="164"/>
      <c r="L96" s="41">
        <v>1176</v>
      </c>
      <c r="M96" s="2" t="s">
        <v>78</v>
      </c>
      <c r="N96" s="93"/>
      <c r="O96" s="62"/>
      <c r="P96" s="57"/>
      <c r="Q96" s="40"/>
      <c r="R96" s="34"/>
      <c r="T96" s="167"/>
      <c r="U96" s="166"/>
      <c r="V96" s="166"/>
      <c r="W96" s="166"/>
      <c r="X96" s="166"/>
      <c r="Y96" s="166"/>
      <c r="Z96" s="166"/>
      <c r="AA96" s="166"/>
      <c r="AB96" s="166"/>
      <c r="AC96" s="166"/>
      <c r="AD96" s="166"/>
      <c r="AE96" s="166"/>
      <c r="AF96" s="167"/>
      <c r="AG96" s="167"/>
      <c r="AH96" s="167"/>
      <c r="AI96" s="167"/>
      <c r="AJ96" s="167"/>
      <c r="AK96" s="167"/>
      <c r="AL96" s="167"/>
      <c r="AM96" s="167"/>
      <c r="AN96" s="167"/>
      <c r="AO96" s="167"/>
      <c r="AP96" s="167"/>
      <c r="AQ96" s="167"/>
      <c r="AR96" s="167"/>
      <c r="AS96" s="167"/>
      <c r="AT96" s="167"/>
      <c r="AU96" s="167"/>
      <c r="AV96" s="167"/>
      <c r="AW96" s="167"/>
      <c r="AX96" s="167"/>
      <c r="AY96" s="167"/>
      <c r="AZ96" s="167"/>
      <c r="BA96" s="167"/>
      <c r="BB96" s="167"/>
      <c r="BC96" s="167"/>
      <c r="BD96" s="167"/>
      <c r="BE96" s="167"/>
      <c r="BF96" s="167"/>
      <c r="BG96" s="167"/>
      <c r="BH96" s="167"/>
      <c r="BI96" s="167"/>
      <c r="BJ96" s="167"/>
      <c r="BK96" s="167"/>
      <c r="BL96" s="167"/>
      <c r="BM96" s="167"/>
      <c r="BN96" s="167"/>
      <c r="BO96" s="167"/>
      <c r="BP96" s="167"/>
      <c r="BQ96" s="167"/>
      <c r="BR96" s="167"/>
      <c r="BS96" s="167"/>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row>
    <row r="97" spans="1:257" ht="12.75" customHeight="1" x14ac:dyDescent="0.3">
      <c r="A97" s="26" t="s">
        <v>132</v>
      </c>
      <c r="B97" s="200">
        <v>24</v>
      </c>
      <c r="C97" s="3" t="s">
        <v>133</v>
      </c>
      <c r="H97" s="163"/>
      <c r="I97" s="165"/>
      <c r="J97" s="166">
        <v>17</v>
      </c>
      <c r="K97" s="166" t="s">
        <v>71</v>
      </c>
      <c r="L97" s="2">
        <v>408</v>
      </c>
      <c r="M97" s="2" t="s">
        <v>78</v>
      </c>
      <c r="N97" s="93"/>
      <c r="O97" s="62"/>
      <c r="P97" s="57"/>
      <c r="Q97" s="40"/>
      <c r="R97" s="34"/>
      <c r="T97" s="167"/>
      <c r="U97" s="166"/>
      <c r="V97" s="166"/>
      <c r="W97" s="166"/>
      <c r="X97" s="166"/>
      <c r="Y97" s="166"/>
      <c r="Z97" s="166"/>
      <c r="AA97" s="166"/>
      <c r="AB97" s="166"/>
      <c r="AC97" s="166"/>
      <c r="AD97" s="166"/>
      <c r="AE97" s="166"/>
      <c r="AF97" s="167"/>
      <c r="AG97" s="167"/>
      <c r="AH97" s="167"/>
      <c r="AI97" s="167"/>
      <c r="AJ97" s="167"/>
      <c r="AK97" s="167"/>
      <c r="AL97" s="167"/>
      <c r="AM97" s="167"/>
      <c r="AN97" s="167"/>
      <c r="AO97" s="167"/>
      <c r="AP97" s="167"/>
      <c r="AQ97" s="167"/>
      <c r="AR97" s="167"/>
      <c r="AS97" s="167"/>
      <c r="AT97" s="167"/>
      <c r="AU97" s="167"/>
      <c r="AV97" s="167"/>
      <c r="AW97" s="167"/>
      <c r="AX97" s="167"/>
      <c r="AY97" s="167"/>
      <c r="AZ97" s="167"/>
      <c r="BA97" s="167"/>
      <c r="BB97" s="167"/>
      <c r="BC97" s="167"/>
      <c r="BD97" s="167"/>
      <c r="BE97" s="167"/>
      <c r="BF97" s="167"/>
      <c r="BG97" s="167"/>
      <c r="BH97" s="167"/>
      <c r="BI97" s="167"/>
      <c r="BJ97" s="167"/>
      <c r="BK97" s="167"/>
      <c r="BL97" s="167"/>
      <c r="BM97" s="167"/>
      <c r="BN97" s="167"/>
      <c r="BO97" s="167"/>
      <c r="BP97" s="167"/>
      <c r="BQ97" s="167"/>
      <c r="BR97" s="167"/>
      <c r="BS97" s="167"/>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row>
    <row r="98" spans="1:257" ht="12.75" customHeight="1" x14ac:dyDescent="0.3">
      <c r="A98" s="26" t="s">
        <v>134</v>
      </c>
      <c r="B98" s="200"/>
      <c r="C98" s="3" t="s">
        <v>133</v>
      </c>
      <c r="H98" s="163"/>
      <c r="I98" s="165"/>
      <c r="J98" s="166">
        <v>22</v>
      </c>
      <c r="K98" s="166" t="s">
        <v>71</v>
      </c>
      <c r="L98" s="2">
        <v>0</v>
      </c>
      <c r="M98" s="2" t="s">
        <v>78</v>
      </c>
      <c r="N98" s="93"/>
      <c r="O98" s="62"/>
      <c r="P98" s="57"/>
      <c r="Q98" s="40"/>
      <c r="R98" s="34"/>
      <c r="T98" s="167"/>
      <c r="U98" s="166"/>
      <c r="V98" s="166"/>
      <c r="W98" s="166"/>
      <c r="X98" s="166"/>
      <c r="Y98" s="166"/>
      <c r="Z98" s="166"/>
      <c r="AA98" s="166"/>
      <c r="AB98" s="166"/>
      <c r="AC98" s="166"/>
      <c r="AD98" s="166"/>
      <c r="AE98" s="166"/>
      <c r="AF98" s="167"/>
      <c r="AG98" s="167"/>
      <c r="AH98" s="167"/>
      <c r="AI98" s="167"/>
      <c r="AJ98" s="167"/>
      <c r="AK98" s="167"/>
      <c r="AL98" s="167"/>
      <c r="AM98" s="167"/>
      <c r="AN98" s="167"/>
      <c r="AO98" s="167"/>
      <c r="AP98" s="167"/>
      <c r="AQ98" s="167"/>
      <c r="AR98" s="167"/>
      <c r="AS98" s="167"/>
      <c r="AT98" s="167"/>
      <c r="AU98" s="167"/>
      <c r="AV98" s="167"/>
      <c r="AW98" s="167"/>
      <c r="AX98" s="167"/>
      <c r="AY98" s="167"/>
      <c r="AZ98" s="167"/>
      <c r="BA98" s="167"/>
      <c r="BB98" s="167"/>
      <c r="BC98" s="167"/>
      <c r="BD98" s="167"/>
      <c r="BE98" s="167"/>
      <c r="BF98" s="167"/>
      <c r="BG98" s="167"/>
      <c r="BH98" s="167"/>
      <c r="BI98" s="167"/>
      <c r="BJ98" s="167"/>
      <c r="BK98" s="167"/>
      <c r="BL98" s="167"/>
      <c r="BM98" s="167"/>
      <c r="BN98" s="167"/>
      <c r="BO98" s="167"/>
      <c r="BP98" s="167"/>
      <c r="BQ98" s="167"/>
      <c r="BR98" s="167"/>
      <c r="BS98" s="167"/>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row>
    <row r="99" spans="1:257" ht="12.75" customHeight="1" x14ac:dyDescent="0.3">
      <c r="A99" s="26" t="s">
        <v>135</v>
      </c>
      <c r="B99" s="200"/>
      <c r="C99" s="3" t="s">
        <v>133</v>
      </c>
      <c r="H99" s="163"/>
      <c r="I99" s="165"/>
      <c r="J99" s="166">
        <v>54</v>
      </c>
      <c r="K99" s="166" t="s">
        <v>71</v>
      </c>
      <c r="L99" s="2">
        <v>0</v>
      </c>
      <c r="M99" s="2" t="s">
        <v>78</v>
      </c>
      <c r="N99" s="93"/>
      <c r="O99" s="62"/>
      <c r="P99" s="57"/>
      <c r="Q99" s="40"/>
      <c r="R99" s="34"/>
      <c r="T99" s="167"/>
      <c r="U99" s="166"/>
      <c r="V99" s="166"/>
      <c r="W99" s="166"/>
      <c r="X99" s="167"/>
      <c r="Y99" s="167"/>
      <c r="Z99" s="167"/>
      <c r="AA99" s="167"/>
      <c r="AB99" s="167"/>
      <c r="AC99" s="167"/>
      <c r="AD99" s="167"/>
      <c r="AE99" s="167"/>
      <c r="AF99" s="167"/>
      <c r="AG99" s="167"/>
      <c r="AH99" s="167"/>
      <c r="AI99" s="167"/>
      <c r="AJ99" s="167"/>
      <c r="AK99" s="167"/>
      <c r="AL99" s="167"/>
      <c r="AM99" s="167"/>
      <c r="AN99" s="167"/>
      <c r="AO99" s="167"/>
      <c r="AP99" s="167"/>
      <c r="AQ99" s="167"/>
      <c r="AR99" s="167"/>
      <c r="AS99" s="167"/>
      <c r="AT99" s="167"/>
      <c r="AU99" s="167"/>
      <c r="AV99" s="167"/>
      <c r="AW99" s="167"/>
      <c r="AX99" s="167"/>
      <c r="AY99" s="167"/>
      <c r="AZ99" s="167"/>
      <c r="BA99" s="167"/>
      <c r="BB99" s="167"/>
      <c r="BC99" s="167"/>
      <c r="BD99" s="167"/>
      <c r="BE99" s="167"/>
      <c r="BF99" s="167"/>
      <c r="BG99" s="167"/>
      <c r="BH99" s="167"/>
      <c r="BI99" s="167"/>
      <c r="BJ99" s="167"/>
      <c r="BK99" s="167"/>
      <c r="BL99" s="167"/>
      <c r="BM99" s="167"/>
      <c r="BN99" s="167"/>
      <c r="BO99" s="167"/>
      <c r="BP99" s="167"/>
      <c r="BQ99" s="167"/>
      <c r="BR99" s="167"/>
      <c r="BS99" s="167"/>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row>
    <row r="100" spans="1:257" ht="12.75" customHeight="1" x14ac:dyDescent="0.3">
      <c r="A100" s="26" t="s">
        <v>136</v>
      </c>
      <c r="B100" s="200"/>
      <c r="C100" s="3" t="s">
        <v>133</v>
      </c>
      <c r="H100" s="163"/>
      <c r="I100" s="165"/>
      <c r="J100" s="166">
        <v>41</v>
      </c>
      <c r="K100" s="166" t="s">
        <v>71</v>
      </c>
      <c r="L100" s="98">
        <v>0</v>
      </c>
      <c r="M100" s="2" t="s">
        <v>78</v>
      </c>
      <c r="N100" s="93"/>
      <c r="O100" s="62"/>
      <c r="P100" s="57"/>
      <c r="Q100" s="40"/>
      <c r="R100" s="34"/>
      <c r="T100" s="167"/>
      <c r="U100" s="166"/>
      <c r="V100" s="166"/>
      <c r="W100" s="166"/>
      <c r="X100" s="167"/>
      <c r="Y100" s="167"/>
      <c r="Z100" s="167"/>
      <c r="AA100" s="167"/>
      <c r="AB100" s="167"/>
      <c r="AC100" s="167"/>
      <c r="AD100" s="167"/>
      <c r="AE100" s="167"/>
      <c r="AF100" s="167"/>
      <c r="AG100" s="167"/>
      <c r="AH100" s="167"/>
      <c r="AI100" s="167"/>
      <c r="AJ100" s="167"/>
      <c r="AK100" s="167"/>
      <c r="AL100" s="167"/>
      <c r="AM100" s="167"/>
      <c r="AN100" s="167"/>
      <c r="AO100" s="167"/>
      <c r="AP100" s="167"/>
      <c r="AQ100" s="167"/>
      <c r="AR100" s="167"/>
      <c r="AS100" s="167"/>
      <c r="AT100" s="167"/>
      <c r="AU100" s="167"/>
      <c r="AV100" s="167"/>
      <c r="AW100" s="167"/>
      <c r="AX100" s="167"/>
      <c r="AY100" s="167"/>
      <c r="AZ100" s="167"/>
      <c r="BA100" s="167"/>
      <c r="BB100" s="167"/>
      <c r="BC100" s="167"/>
      <c r="BD100" s="167"/>
      <c r="BE100" s="167"/>
      <c r="BF100" s="167"/>
      <c r="BG100" s="167"/>
      <c r="BH100" s="167"/>
      <c r="BI100" s="167"/>
      <c r="BJ100" s="167"/>
      <c r="BK100" s="167"/>
      <c r="BL100" s="167"/>
      <c r="BM100" s="167"/>
      <c r="BN100" s="167"/>
      <c r="BO100" s="167"/>
      <c r="BP100" s="167"/>
      <c r="BQ100" s="167"/>
      <c r="BR100" s="167"/>
      <c r="BS100" s="167"/>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row>
    <row r="101" spans="1:257" ht="12.75" customHeight="1" x14ac:dyDescent="0.3">
      <c r="A101" s="26" t="s">
        <v>137</v>
      </c>
      <c r="B101" s="200"/>
      <c r="C101" s="3" t="s">
        <v>133</v>
      </c>
      <c r="H101" s="163"/>
      <c r="I101" s="165"/>
      <c r="J101" s="166">
        <v>30</v>
      </c>
      <c r="K101" s="166" t="s">
        <v>71</v>
      </c>
      <c r="L101" s="2">
        <v>0</v>
      </c>
      <c r="M101" s="2" t="s">
        <v>78</v>
      </c>
      <c r="N101" s="93"/>
      <c r="O101" s="62"/>
      <c r="P101" s="57"/>
      <c r="Q101" s="40"/>
      <c r="R101" s="34"/>
      <c r="T101" s="167"/>
      <c r="U101" s="166"/>
      <c r="V101" s="166"/>
      <c r="W101" s="166"/>
      <c r="X101" s="167"/>
      <c r="Y101" s="167"/>
      <c r="Z101" s="167"/>
      <c r="AA101" s="167"/>
      <c r="AB101" s="167"/>
      <c r="AC101" s="167"/>
      <c r="AD101" s="167"/>
      <c r="AE101" s="167"/>
      <c r="AF101" s="167"/>
      <c r="AG101" s="167"/>
      <c r="AH101" s="167"/>
      <c r="AI101" s="167"/>
      <c r="AJ101" s="167"/>
      <c r="AK101" s="167"/>
      <c r="AL101" s="167"/>
      <c r="AM101" s="167"/>
      <c r="AN101" s="167"/>
      <c r="AO101" s="167"/>
      <c r="AP101" s="167"/>
      <c r="AQ101" s="167"/>
      <c r="AR101" s="167"/>
      <c r="AS101" s="167"/>
      <c r="AT101" s="167"/>
      <c r="AU101" s="167"/>
      <c r="AV101" s="167"/>
      <c r="AW101" s="167"/>
      <c r="AX101" s="167"/>
      <c r="AY101" s="167"/>
      <c r="AZ101" s="167"/>
      <c r="BA101" s="167"/>
      <c r="BB101" s="167"/>
      <c r="BC101" s="167"/>
      <c r="BD101" s="167"/>
      <c r="BE101" s="167"/>
      <c r="BF101" s="167"/>
      <c r="BG101" s="167"/>
      <c r="BH101" s="167"/>
      <c r="BI101" s="167"/>
      <c r="BJ101" s="167"/>
      <c r="BK101" s="167"/>
      <c r="BL101" s="167"/>
      <c r="BM101" s="167"/>
      <c r="BN101" s="167"/>
      <c r="BO101" s="167"/>
      <c r="BP101" s="167"/>
      <c r="BQ101" s="167"/>
      <c r="BR101" s="167"/>
      <c r="BS101" s="167"/>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row>
    <row r="102" spans="1:257" ht="8.1" customHeight="1" x14ac:dyDescent="0.3">
      <c r="A102" s="26"/>
      <c r="B102" s="26"/>
      <c r="C102" s="3"/>
      <c r="D102" s="3"/>
      <c r="E102" s="3"/>
      <c r="F102" s="3"/>
      <c r="G102" s="3"/>
      <c r="H102" s="162"/>
      <c r="I102" s="167"/>
      <c r="J102" s="166"/>
      <c r="K102" s="166"/>
      <c r="L102" s="3"/>
      <c r="M102" s="3"/>
      <c r="N102" s="26"/>
      <c r="O102" s="96"/>
      <c r="P102" s="57"/>
      <c r="R102" s="34"/>
      <c r="T102" s="167"/>
      <c r="U102" s="166"/>
      <c r="V102" s="166"/>
      <c r="W102" s="166"/>
      <c r="X102" s="167"/>
      <c r="Y102" s="167"/>
      <c r="Z102" s="167"/>
      <c r="AA102" s="167"/>
      <c r="AB102" s="167"/>
      <c r="AC102" s="167"/>
      <c r="AD102" s="167"/>
      <c r="AE102" s="167"/>
      <c r="AF102" s="167"/>
      <c r="AG102" s="167"/>
      <c r="AH102" s="167"/>
      <c r="AI102" s="167"/>
      <c r="AJ102" s="167"/>
      <c r="AK102" s="167"/>
      <c r="AL102" s="167"/>
      <c r="AM102" s="167"/>
      <c r="AN102" s="167"/>
      <c r="AO102" s="167"/>
      <c r="AP102" s="167"/>
      <c r="AQ102" s="167"/>
      <c r="AR102" s="167"/>
      <c r="AS102" s="167"/>
      <c r="AT102" s="167"/>
      <c r="AU102" s="167"/>
      <c r="AV102" s="167"/>
      <c r="AW102" s="167"/>
      <c r="AX102" s="167"/>
      <c r="AY102" s="167"/>
      <c r="AZ102" s="167"/>
      <c r="BA102" s="167"/>
      <c r="BB102" s="167"/>
      <c r="BC102" s="167"/>
      <c r="BD102" s="167"/>
      <c r="BE102" s="167"/>
      <c r="BF102" s="167"/>
      <c r="BG102" s="167"/>
      <c r="BH102" s="167"/>
      <c r="BI102" s="167"/>
      <c r="BJ102" s="167"/>
      <c r="BK102" s="167"/>
      <c r="BL102" s="167"/>
      <c r="BM102" s="167"/>
      <c r="BN102" s="167"/>
      <c r="BO102" s="167"/>
      <c r="BP102" s="167"/>
      <c r="BQ102" s="167"/>
      <c r="BR102" s="167"/>
      <c r="BS102" s="167"/>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row>
    <row r="103" spans="1:257" ht="12.75" customHeight="1" x14ac:dyDescent="0.3">
      <c r="A103" s="26" t="s">
        <v>138</v>
      </c>
      <c r="B103" s="200"/>
      <c r="C103" s="3" t="s">
        <v>139</v>
      </c>
      <c r="H103" s="163"/>
      <c r="I103" s="165"/>
      <c r="J103" s="166">
        <v>17</v>
      </c>
      <c r="K103" s="166" t="s">
        <v>140</v>
      </c>
      <c r="L103" s="2">
        <v>0</v>
      </c>
      <c r="M103" s="2" t="s">
        <v>78</v>
      </c>
      <c r="N103" s="93"/>
      <c r="O103" s="62"/>
      <c r="P103" s="57"/>
      <c r="Q103" s="40"/>
      <c r="R103" s="34"/>
      <c r="T103" s="167"/>
      <c r="U103" s="166"/>
      <c r="V103" s="166"/>
      <c r="W103" s="166"/>
      <c r="X103" s="167"/>
      <c r="Y103" s="167"/>
      <c r="Z103" s="167"/>
      <c r="AA103" s="167"/>
      <c r="AB103" s="167"/>
      <c r="AC103" s="167"/>
      <c r="AD103" s="167"/>
      <c r="AE103" s="167"/>
      <c r="AF103" s="167"/>
      <c r="AG103" s="167"/>
      <c r="AH103" s="167"/>
      <c r="AI103" s="167"/>
      <c r="AJ103" s="167"/>
      <c r="AK103" s="167"/>
      <c r="AL103" s="167"/>
      <c r="AM103" s="167"/>
      <c r="AN103" s="167"/>
      <c r="AO103" s="167"/>
      <c r="AP103" s="167"/>
      <c r="AQ103" s="167"/>
      <c r="AR103" s="167"/>
      <c r="AS103" s="167"/>
      <c r="AT103" s="167"/>
      <c r="AU103" s="167"/>
      <c r="AV103" s="167"/>
      <c r="AW103" s="167"/>
      <c r="AX103" s="167"/>
      <c r="AY103" s="167"/>
      <c r="AZ103" s="167"/>
      <c r="BA103" s="167"/>
      <c r="BB103" s="167"/>
      <c r="BC103" s="167"/>
      <c r="BD103" s="167"/>
      <c r="BE103" s="167"/>
      <c r="BF103" s="167"/>
      <c r="BG103" s="167"/>
      <c r="BH103" s="167"/>
      <c r="BI103" s="167"/>
      <c r="BJ103" s="167"/>
      <c r="BK103" s="167"/>
      <c r="BL103" s="167"/>
      <c r="BM103" s="167"/>
      <c r="BN103" s="167"/>
      <c r="BO103" s="167"/>
      <c r="BP103" s="167"/>
      <c r="BQ103" s="167"/>
      <c r="BR103" s="167"/>
      <c r="BS103" s="167"/>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row>
    <row r="104" spans="1:257" ht="8.1" customHeight="1" x14ac:dyDescent="0.3">
      <c r="A104" s="26"/>
      <c r="B104" s="26"/>
      <c r="C104" s="3"/>
      <c r="D104" s="3"/>
      <c r="E104" s="3"/>
      <c r="F104" s="3"/>
      <c r="G104" s="3"/>
      <c r="H104" s="162"/>
      <c r="I104" s="167"/>
      <c r="J104" s="166"/>
      <c r="K104" s="166"/>
      <c r="L104" s="3"/>
      <c r="M104" s="3"/>
      <c r="N104" s="26"/>
      <c r="O104" s="96"/>
      <c r="P104" s="57"/>
      <c r="R104" s="34"/>
      <c r="T104" s="167"/>
      <c r="U104" s="166"/>
      <c r="V104" s="166"/>
      <c r="W104" s="166"/>
      <c r="X104" s="167"/>
      <c r="Y104" s="167"/>
      <c r="Z104" s="167"/>
      <c r="AA104" s="167"/>
      <c r="AB104" s="167"/>
      <c r="AC104" s="167"/>
      <c r="AD104" s="167"/>
      <c r="AE104" s="167"/>
      <c r="AF104" s="167"/>
      <c r="AG104" s="167"/>
      <c r="AH104" s="167"/>
      <c r="AI104" s="167"/>
      <c r="AJ104" s="167"/>
      <c r="AK104" s="167"/>
      <c r="AL104" s="167"/>
      <c r="AM104" s="167"/>
      <c r="AN104" s="167"/>
      <c r="AO104" s="167"/>
      <c r="AP104" s="167"/>
      <c r="AQ104" s="167"/>
      <c r="AR104" s="167"/>
      <c r="AS104" s="167"/>
      <c r="AT104" s="167"/>
      <c r="AU104" s="167"/>
      <c r="AV104" s="167"/>
      <c r="AW104" s="167"/>
      <c r="AX104" s="167"/>
      <c r="AY104" s="167"/>
      <c r="AZ104" s="167"/>
      <c r="BA104" s="167"/>
      <c r="BB104" s="167"/>
      <c r="BC104" s="167"/>
      <c r="BD104" s="167"/>
      <c r="BE104" s="167"/>
      <c r="BF104" s="167"/>
      <c r="BG104" s="167"/>
      <c r="BH104" s="167"/>
      <c r="BI104" s="167"/>
      <c r="BJ104" s="167"/>
      <c r="BK104" s="167"/>
      <c r="BL104" s="167"/>
      <c r="BM104" s="167"/>
      <c r="BN104" s="167"/>
      <c r="BO104" s="167"/>
      <c r="BP104" s="167"/>
      <c r="BQ104" s="167"/>
      <c r="BR104" s="167"/>
      <c r="BS104" s="167"/>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row>
    <row r="105" spans="1:257" ht="12.75" customHeight="1" x14ac:dyDescent="0.3">
      <c r="A105" s="26" t="s">
        <v>141</v>
      </c>
      <c r="B105" s="200"/>
      <c r="C105" s="3" t="s">
        <v>139</v>
      </c>
      <c r="H105" s="163"/>
      <c r="I105" s="165"/>
      <c r="J105" s="166">
        <v>16</v>
      </c>
      <c r="K105" s="166" t="s">
        <v>140</v>
      </c>
      <c r="L105" s="2">
        <v>0</v>
      </c>
      <c r="M105" s="2" t="s">
        <v>78</v>
      </c>
      <c r="N105" s="93"/>
      <c r="O105" s="62"/>
      <c r="P105" s="57"/>
      <c r="Q105" s="40"/>
      <c r="R105" s="34"/>
      <c r="T105" s="167"/>
      <c r="U105" s="166"/>
      <c r="V105" s="166"/>
      <c r="W105" s="166"/>
      <c r="X105" s="167"/>
      <c r="Y105" s="167"/>
      <c r="Z105" s="167"/>
      <c r="AA105" s="167"/>
      <c r="AB105" s="167"/>
      <c r="AC105" s="167"/>
      <c r="AD105" s="167"/>
      <c r="AE105" s="167"/>
      <c r="AF105" s="167"/>
      <c r="AG105" s="167"/>
      <c r="AH105" s="167"/>
      <c r="AI105" s="167"/>
      <c r="AJ105" s="167"/>
      <c r="AK105" s="167"/>
      <c r="AL105" s="167"/>
      <c r="AM105" s="167"/>
      <c r="AN105" s="167"/>
      <c r="AO105" s="167"/>
      <c r="AP105" s="167"/>
      <c r="AQ105" s="167"/>
      <c r="AR105" s="167"/>
      <c r="AS105" s="167"/>
      <c r="AT105" s="167"/>
      <c r="AU105" s="167"/>
      <c r="AV105" s="167"/>
      <c r="AW105" s="167"/>
      <c r="AX105" s="167"/>
      <c r="AY105" s="167"/>
      <c r="AZ105" s="167"/>
      <c r="BA105" s="167"/>
      <c r="BB105" s="167"/>
      <c r="BC105" s="167"/>
      <c r="BD105" s="167"/>
      <c r="BE105" s="167"/>
      <c r="BF105" s="167"/>
      <c r="BG105" s="167"/>
      <c r="BH105" s="167"/>
      <c r="BI105" s="167"/>
      <c r="BJ105" s="167"/>
      <c r="BK105" s="167"/>
      <c r="BL105" s="167"/>
      <c r="BM105" s="167"/>
      <c r="BN105" s="167"/>
      <c r="BO105" s="167"/>
      <c r="BP105" s="167"/>
      <c r="BQ105" s="167"/>
      <c r="BR105" s="167"/>
      <c r="BS105" s="167"/>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row>
    <row r="106" spans="1:257" ht="12.75" customHeight="1" x14ac:dyDescent="0.3">
      <c r="A106" s="26" t="s">
        <v>142</v>
      </c>
      <c r="B106" s="200"/>
      <c r="C106" s="3" t="s">
        <v>139</v>
      </c>
      <c r="H106" s="163"/>
      <c r="I106" s="165"/>
      <c r="J106" s="166">
        <v>14</v>
      </c>
      <c r="K106" s="166" t="s">
        <v>140</v>
      </c>
      <c r="L106" s="2">
        <v>0</v>
      </c>
      <c r="M106" s="2" t="s">
        <v>78</v>
      </c>
      <c r="N106" s="93"/>
      <c r="O106" s="62"/>
      <c r="P106" s="57"/>
      <c r="Q106" s="40"/>
      <c r="R106" s="34"/>
      <c r="T106" s="167"/>
      <c r="U106" s="166"/>
      <c r="V106" s="166"/>
      <c r="W106" s="166"/>
      <c r="X106" s="167"/>
      <c r="Y106" s="167"/>
      <c r="Z106" s="167"/>
      <c r="AA106" s="167"/>
      <c r="AB106" s="167"/>
      <c r="AC106" s="167"/>
      <c r="AD106" s="167"/>
      <c r="AE106" s="167"/>
      <c r="AF106" s="167"/>
      <c r="AG106" s="167"/>
      <c r="AH106" s="167"/>
      <c r="AI106" s="167"/>
      <c r="AJ106" s="167"/>
      <c r="AK106" s="167"/>
      <c r="AL106" s="167"/>
      <c r="AM106" s="167"/>
      <c r="AN106" s="167"/>
      <c r="AO106" s="167"/>
      <c r="AP106" s="167"/>
      <c r="AQ106" s="167"/>
      <c r="AR106" s="167"/>
      <c r="AS106" s="167"/>
      <c r="AT106" s="167"/>
      <c r="AU106" s="167"/>
      <c r="AV106" s="167"/>
      <c r="AW106" s="167"/>
      <c r="AX106" s="167"/>
      <c r="AY106" s="167"/>
      <c r="AZ106" s="167"/>
      <c r="BA106" s="167"/>
      <c r="BB106" s="167"/>
      <c r="BC106" s="167"/>
      <c r="BD106" s="167"/>
      <c r="BE106" s="167"/>
      <c r="BF106" s="167"/>
      <c r="BG106" s="167"/>
      <c r="BH106" s="167"/>
      <c r="BI106" s="167"/>
      <c r="BJ106" s="167"/>
      <c r="BK106" s="167"/>
      <c r="BL106" s="167"/>
      <c r="BM106" s="167"/>
      <c r="BN106" s="167"/>
      <c r="BO106" s="167"/>
      <c r="BP106" s="167"/>
      <c r="BQ106" s="167"/>
      <c r="BR106" s="167"/>
      <c r="BS106" s="167"/>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row>
    <row r="107" spans="1:257" ht="8.1" customHeight="1" x14ac:dyDescent="0.3">
      <c r="A107" s="26"/>
      <c r="B107" s="26"/>
      <c r="C107" s="3"/>
      <c r="D107" s="3"/>
      <c r="E107" s="3"/>
      <c r="F107" s="3"/>
      <c r="G107" s="3"/>
      <c r="H107" s="162"/>
      <c r="I107" s="167"/>
      <c r="J107" s="166"/>
      <c r="K107" s="166"/>
      <c r="L107" s="3"/>
      <c r="M107" s="3"/>
      <c r="N107" s="26"/>
      <c r="O107" s="96"/>
      <c r="P107" s="57"/>
      <c r="R107" s="34"/>
      <c r="T107" s="167"/>
      <c r="U107" s="166"/>
      <c r="V107" s="166"/>
      <c r="W107" s="166"/>
      <c r="X107" s="167"/>
      <c r="Y107" s="167"/>
      <c r="Z107" s="167"/>
      <c r="AA107" s="167"/>
      <c r="AB107" s="167"/>
      <c r="AC107" s="167"/>
      <c r="AD107" s="167"/>
      <c r="AE107" s="167"/>
      <c r="AF107" s="167"/>
      <c r="AG107" s="167"/>
      <c r="AH107" s="167"/>
      <c r="AI107" s="167"/>
      <c r="AJ107" s="167"/>
      <c r="AK107" s="167"/>
      <c r="AL107" s="167"/>
      <c r="AM107" s="167"/>
      <c r="AN107" s="167"/>
      <c r="AO107" s="167"/>
      <c r="AP107" s="167"/>
      <c r="AQ107" s="167"/>
      <c r="AR107" s="167"/>
      <c r="AS107" s="167"/>
      <c r="AT107" s="167"/>
      <c r="AU107" s="167"/>
      <c r="AV107" s="167"/>
      <c r="AW107" s="167"/>
      <c r="AX107" s="167"/>
      <c r="AY107" s="167"/>
      <c r="AZ107" s="167"/>
      <c r="BA107" s="167"/>
      <c r="BB107" s="167"/>
      <c r="BC107" s="167"/>
      <c r="BD107" s="167"/>
      <c r="BE107" s="167"/>
      <c r="BF107" s="167"/>
      <c r="BG107" s="167"/>
      <c r="BH107" s="167"/>
      <c r="BI107" s="167"/>
      <c r="BJ107" s="167"/>
      <c r="BK107" s="167"/>
      <c r="BL107" s="167"/>
      <c r="BM107" s="167"/>
      <c r="BN107" s="167"/>
      <c r="BO107" s="167"/>
      <c r="BP107" s="167"/>
      <c r="BQ107" s="167"/>
      <c r="BR107" s="167"/>
      <c r="BS107" s="167"/>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c r="IW107" s="2"/>
    </row>
    <row r="108" spans="1:257" ht="12.75" customHeight="1" x14ac:dyDescent="0.3">
      <c r="A108" s="26" t="s">
        <v>143</v>
      </c>
      <c r="B108" s="97"/>
      <c r="H108" s="163"/>
      <c r="I108" s="165"/>
      <c r="J108" s="168"/>
      <c r="K108" s="168"/>
      <c r="N108" s="93"/>
      <c r="O108" s="62"/>
      <c r="P108" s="57"/>
      <c r="Q108" s="40"/>
      <c r="R108" s="34"/>
      <c r="T108" s="167"/>
      <c r="U108" s="166"/>
      <c r="V108" s="166"/>
      <c r="W108" s="166"/>
      <c r="X108" s="167"/>
      <c r="Y108" s="167"/>
      <c r="Z108" s="167"/>
      <c r="AA108" s="167"/>
      <c r="AB108" s="167"/>
      <c r="AC108" s="167"/>
      <c r="AD108" s="167"/>
      <c r="AE108" s="167"/>
      <c r="AF108" s="167"/>
      <c r="AG108" s="167"/>
      <c r="AH108" s="167"/>
      <c r="AI108" s="167"/>
      <c r="AJ108" s="167"/>
      <c r="AK108" s="167"/>
      <c r="AL108" s="167"/>
      <c r="AM108" s="167"/>
      <c r="AN108" s="167"/>
      <c r="AO108" s="167"/>
      <c r="AP108" s="167"/>
      <c r="AQ108" s="167"/>
      <c r="AR108" s="167"/>
      <c r="AS108" s="167"/>
      <c r="AT108" s="167"/>
      <c r="AU108" s="167"/>
      <c r="AV108" s="167"/>
      <c r="AW108" s="167"/>
      <c r="AX108" s="167"/>
      <c r="AY108" s="167"/>
      <c r="AZ108" s="167"/>
      <c r="BA108" s="167"/>
      <c r="BB108" s="167"/>
      <c r="BC108" s="167"/>
      <c r="BD108" s="167"/>
      <c r="BE108" s="167"/>
      <c r="BF108" s="167"/>
      <c r="BG108" s="167"/>
      <c r="BH108" s="167"/>
      <c r="BI108" s="167"/>
      <c r="BJ108" s="167"/>
      <c r="BK108" s="167"/>
      <c r="BL108" s="167"/>
      <c r="BM108" s="167"/>
      <c r="BN108" s="167"/>
      <c r="BO108" s="167"/>
      <c r="BP108" s="167"/>
      <c r="BQ108" s="167"/>
      <c r="BR108" s="167"/>
      <c r="BS108" s="167"/>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c r="IW108" s="2"/>
    </row>
    <row r="109" spans="1:257" ht="12.75" customHeight="1" x14ac:dyDescent="0.3">
      <c r="A109" s="26" t="s">
        <v>144</v>
      </c>
      <c r="B109" s="200">
        <v>200</v>
      </c>
      <c r="C109" s="2" t="s">
        <v>113</v>
      </c>
      <c r="D109" s="27"/>
      <c r="E109" s="201">
        <v>40</v>
      </c>
      <c r="F109" s="2" t="s">
        <v>139</v>
      </c>
      <c r="H109" s="163"/>
      <c r="I109" s="165"/>
      <c r="J109" s="169">
        <v>40</v>
      </c>
      <c r="K109" s="170" t="s">
        <v>22</v>
      </c>
      <c r="L109" s="98">
        <v>768</v>
      </c>
      <c r="M109" s="2" t="s">
        <v>78</v>
      </c>
      <c r="N109" s="93"/>
      <c r="O109" s="62"/>
      <c r="P109" s="57"/>
      <c r="Q109" s="40"/>
      <c r="R109" s="34"/>
      <c r="T109" s="167"/>
      <c r="U109" s="166"/>
      <c r="V109" s="166"/>
      <c r="W109" s="166"/>
      <c r="X109" s="167"/>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167"/>
      <c r="AV109" s="167"/>
      <c r="AW109" s="167"/>
      <c r="AX109" s="167"/>
      <c r="AY109" s="167"/>
      <c r="AZ109" s="167"/>
      <c r="BA109" s="167"/>
      <c r="BB109" s="167"/>
      <c r="BC109" s="167"/>
      <c r="BD109" s="167"/>
      <c r="BE109" s="167"/>
      <c r="BF109" s="167"/>
      <c r="BG109" s="167"/>
      <c r="BH109" s="167"/>
      <c r="BI109" s="167"/>
      <c r="BJ109" s="167"/>
      <c r="BK109" s="167"/>
      <c r="BL109" s="167"/>
      <c r="BM109" s="167"/>
      <c r="BN109" s="167"/>
      <c r="BO109" s="167"/>
      <c r="BP109" s="167"/>
      <c r="BQ109" s="167"/>
      <c r="BR109" s="167"/>
      <c r="BS109" s="167"/>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row>
    <row r="110" spans="1:257" ht="12.75" customHeight="1" x14ac:dyDescent="0.3">
      <c r="A110" s="26" t="s">
        <v>145</v>
      </c>
      <c r="B110" s="200"/>
      <c r="C110" s="2" t="s">
        <v>113</v>
      </c>
      <c r="D110" s="27"/>
      <c r="E110" s="201"/>
      <c r="F110" s="2" t="s">
        <v>139</v>
      </c>
      <c r="H110" s="163"/>
      <c r="I110" s="165"/>
      <c r="J110" s="169">
        <v>35</v>
      </c>
      <c r="K110" s="170" t="s">
        <v>22</v>
      </c>
      <c r="L110" s="98">
        <v>0</v>
      </c>
      <c r="M110" s="2" t="s">
        <v>78</v>
      </c>
      <c r="N110" s="93"/>
      <c r="O110" s="62"/>
      <c r="P110" s="57"/>
      <c r="Q110" s="40"/>
      <c r="R110" s="34"/>
      <c r="T110" s="167"/>
      <c r="U110" s="166"/>
      <c r="V110" s="166"/>
      <c r="W110" s="166"/>
      <c r="X110" s="167"/>
      <c r="Y110" s="167"/>
      <c r="Z110" s="167"/>
      <c r="AA110" s="167"/>
      <c r="AB110" s="167"/>
      <c r="AC110" s="167"/>
      <c r="AD110" s="167"/>
      <c r="AE110" s="167"/>
      <c r="AF110" s="167"/>
      <c r="AG110" s="167"/>
      <c r="AH110" s="167"/>
      <c r="AI110" s="167"/>
      <c r="AJ110" s="167"/>
      <c r="AK110" s="167"/>
      <c r="AL110" s="167"/>
      <c r="AM110" s="167"/>
      <c r="AN110" s="167"/>
      <c r="AO110" s="167"/>
      <c r="AP110" s="167"/>
      <c r="AQ110" s="167"/>
      <c r="AR110" s="167"/>
      <c r="AS110" s="167"/>
      <c r="AT110" s="167"/>
      <c r="AU110" s="167"/>
      <c r="AV110" s="167"/>
      <c r="AW110" s="167"/>
      <c r="AX110" s="167"/>
      <c r="AY110" s="167"/>
      <c r="AZ110" s="167"/>
      <c r="BA110" s="167"/>
      <c r="BB110" s="167"/>
      <c r="BC110" s="167"/>
      <c r="BD110" s="167"/>
      <c r="BE110" s="167"/>
      <c r="BF110" s="167"/>
      <c r="BG110" s="167"/>
      <c r="BH110" s="167"/>
      <c r="BI110" s="167"/>
      <c r="BJ110" s="167"/>
      <c r="BK110" s="167"/>
      <c r="BL110" s="167"/>
      <c r="BM110" s="167"/>
      <c r="BN110" s="167"/>
      <c r="BO110" s="167"/>
      <c r="BP110" s="167"/>
      <c r="BQ110" s="167"/>
      <c r="BR110" s="167"/>
      <c r="BS110" s="167"/>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c r="IW110" s="2"/>
    </row>
    <row r="111" spans="1:257" ht="12.75" customHeight="1" x14ac:dyDescent="0.3">
      <c r="A111" s="26" t="s">
        <v>146</v>
      </c>
      <c r="B111" s="200"/>
      <c r="C111" s="2" t="s">
        <v>113</v>
      </c>
      <c r="D111" s="27"/>
      <c r="E111" s="201"/>
      <c r="F111" s="2" t="s">
        <v>139</v>
      </c>
      <c r="H111" s="163"/>
      <c r="I111" s="165"/>
      <c r="J111" s="169">
        <v>25</v>
      </c>
      <c r="K111" s="170" t="s">
        <v>22</v>
      </c>
      <c r="L111" s="98">
        <v>0</v>
      </c>
      <c r="M111" s="2" t="s">
        <v>78</v>
      </c>
      <c r="N111" s="93"/>
      <c r="O111" s="62"/>
      <c r="P111" s="57"/>
      <c r="Q111" s="40"/>
      <c r="R111" s="34"/>
      <c r="T111" s="167"/>
      <c r="U111" s="166"/>
      <c r="V111" s="166"/>
      <c r="W111" s="166"/>
      <c r="X111" s="167"/>
      <c r="Y111" s="167"/>
      <c r="Z111" s="167"/>
      <c r="AA111" s="167"/>
      <c r="AB111" s="167"/>
      <c r="AC111" s="167"/>
      <c r="AD111" s="167"/>
      <c r="AE111" s="167"/>
      <c r="AF111" s="167"/>
      <c r="AG111" s="167"/>
      <c r="AH111" s="167"/>
      <c r="AI111" s="167"/>
      <c r="AJ111" s="167"/>
      <c r="AK111" s="167"/>
      <c r="AL111" s="167"/>
      <c r="AM111" s="167"/>
      <c r="AN111" s="167"/>
      <c r="AO111" s="167"/>
      <c r="AP111" s="167"/>
      <c r="AQ111" s="167"/>
      <c r="AR111" s="167"/>
      <c r="AS111" s="167"/>
      <c r="AT111" s="167"/>
      <c r="AU111" s="167"/>
      <c r="AV111" s="167"/>
      <c r="AW111" s="167"/>
      <c r="AX111" s="167"/>
      <c r="AY111" s="167"/>
      <c r="AZ111" s="167"/>
      <c r="BA111" s="167"/>
      <c r="BB111" s="167"/>
      <c r="BC111" s="167"/>
      <c r="BD111" s="167"/>
      <c r="BE111" s="167"/>
      <c r="BF111" s="167"/>
      <c r="BG111" s="167"/>
      <c r="BH111" s="167"/>
      <c r="BI111" s="167"/>
      <c r="BJ111" s="167"/>
      <c r="BK111" s="167"/>
      <c r="BL111" s="167"/>
      <c r="BM111" s="167"/>
      <c r="BN111" s="167"/>
      <c r="BO111" s="167"/>
      <c r="BP111" s="167"/>
      <c r="BQ111" s="167"/>
      <c r="BR111" s="167"/>
      <c r="BS111" s="167"/>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c r="IW111" s="2"/>
    </row>
    <row r="112" spans="1:257" ht="8.1" customHeight="1" x14ac:dyDescent="0.3">
      <c r="A112" s="26"/>
      <c r="B112" s="26"/>
      <c r="C112" s="3"/>
      <c r="D112" s="3"/>
      <c r="E112" s="3"/>
      <c r="F112" s="3"/>
      <c r="H112" s="163"/>
      <c r="I112" s="162"/>
      <c r="J112" s="162"/>
      <c r="K112" s="162"/>
      <c r="L112" s="3"/>
      <c r="M112" s="3"/>
      <c r="N112" s="26"/>
      <c r="O112" s="96"/>
      <c r="P112" s="57"/>
      <c r="R112" s="34"/>
      <c r="T112" s="167"/>
      <c r="U112" s="166"/>
      <c r="V112" s="166"/>
      <c r="W112" s="166"/>
      <c r="X112" s="167"/>
      <c r="Y112" s="167"/>
      <c r="Z112" s="167"/>
      <c r="AA112" s="167"/>
      <c r="AB112" s="167"/>
      <c r="AC112" s="167"/>
      <c r="AD112" s="167"/>
      <c r="AE112" s="167"/>
      <c r="AF112" s="167"/>
      <c r="AG112" s="167"/>
      <c r="AH112" s="167"/>
      <c r="AI112" s="167"/>
      <c r="AJ112" s="167"/>
      <c r="AK112" s="167"/>
      <c r="AL112" s="167"/>
      <c r="AM112" s="167"/>
      <c r="AN112" s="167"/>
      <c r="AO112" s="167"/>
      <c r="AP112" s="167"/>
      <c r="AQ112" s="167"/>
      <c r="AR112" s="167"/>
      <c r="AS112" s="167"/>
      <c r="AT112" s="167"/>
      <c r="AU112" s="167"/>
      <c r="AV112" s="167"/>
      <c r="AW112" s="167"/>
      <c r="AX112" s="167"/>
      <c r="AY112" s="167"/>
      <c r="AZ112" s="167"/>
      <c r="BA112" s="167"/>
      <c r="BB112" s="167"/>
      <c r="BC112" s="167"/>
      <c r="BD112" s="167"/>
      <c r="BE112" s="167"/>
      <c r="BF112" s="167"/>
      <c r="BG112" s="167"/>
      <c r="BH112" s="167"/>
      <c r="BI112" s="167"/>
      <c r="BJ112" s="167"/>
      <c r="BK112" s="167"/>
      <c r="BL112" s="167"/>
      <c r="BM112" s="167"/>
      <c r="BN112" s="167"/>
      <c r="BO112" s="167"/>
      <c r="BP112" s="167"/>
      <c r="BQ112" s="167"/>
      <c r="BR112" s="167"/>
      <c r="BS112" s="167"/>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row>
    <row r="113" spans="1:257" x14ac:dyDescent="0.3">
      <c r="A113" s="64" t="s">
        <v>147</v>
      </c>
      <c r="B113" s="26"/>
      <c r="C113" s="3"/>
      <c r="D113" s="3"/>
      <c r="E113" s="3"/>
      <c r="F113" s="3"/>
      <c r="G113" s="3"/>
      <c r="H113" s="162"/>
      <c r="I113" s="162"/>
      <c r="J113" s="162"/>
      <c r="K113" s="162"/>
      <c r="N113" s="26"/>
      <c r="O113" s="96"/>
      <c r="Q113" s="2"/>
      <c r="R113" s="34"/>
      <c r="T113" s="167"/>
      <c r="U113" s="166"/>
      <c r="V113" s="166"/>
      <c r="W113" s="166"/>
      <c r="X113" s="167"/>
      <c r="Y113" s="167"/>
      <c r="Z113" s="167"/>
      <c r="AA113" s="167"/>
      <c r="AB113" s="167"/>
      <c r="AC113" s="167"/>
      <c r="AD113" s="167"/>
      <c r="AE113" s="167"/>
      <c r="AF113" s="167"/>
      <c r="AG113" s="167"/>
      <c r="AH113" s="167"/>
      <c r="AI113" s="167"/>
      <c r="AJ113" s="167"/>
      <c r="AK113" s="167"/>
      <c r="AL113" s="167"/>
      <c r="AM113" s="167"/>
      <c r="AN113" s="167"/>
      <c r="AO113" s="167"/>
      <c r="AP113" s="167"/>
      <c r="AQ113" s="167"/>
      <c r="AR113" s="167"/>
      <c r="AS113" s="167"/>
      <c r="AT113" s="167"/>
      <c r="AU113" s="167"/>
      <c r="AV113" s="167"/>
      <c r="AW113" s="167"/>
      <c r="AX113" s="167"/>
      <c r="AY113" s="167"/>
      <c r="AZ113" s="167"/>
      <c r="BA113" s="167"/>
      <c r="BB113" s="167"/>
      <c r="BC113" s="167"/>
      <c r="BD113" s="167"/>
      <c r="BE113" s="167"/>
      <c r="BF113" s="167"/>
      <c r="BG113" s="167"/>
      <c r="BH113" s="167"/>
      <c r="BI113" s="167"/>
      <c r="BJ113" s="167"/>
      <c r="BK113" s="167"/>
      <c r="BL113" s="167"/>
      <c r="BM113" s="167"/>
      <c r="BN113" s="167"/>
      <c r="BO113" s="167"/>
      <c r="BP113" s="167"/>
      <c r="BQ113" s="167"/>
      <c r="BR113" s="167"/>
      <c r="BS113" s="167"/>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c r="IW113" s="2"/>
    </row>
    <row r="114" spans="1:257" x14ac:dyDescent="0.3">
      <c r="A114" s="39" t="s">
        <v>148</v>
      </c>
      <c r="B114" s="26"/>
      <c r="C114" s="3"/>
      <c r="D114" s="3"/>
      <c r="E114" s="3"/>
      <c r="F114" s="3"/>
      <c r="G114" s="3"/>
      <c r="H114" s="162"/>
      <c r="I114" s="162"/>
      <c r="J114" s="162"/>
      <c r="K114" s="162"/>
      <c r="N114" s="99">
        <v>21077.724137931036</v>
      </c>
      <c r="O114" s="59" t="s">
        <v>78</v>
      </c>
      <c r="Q114" s="2"/>
      <c r="R114" s="34"/>
      <c r="T114" s="167"/>
      <c r="U114" s="166"/>
      <c r="V114" s="166"/>
      <c r="W114" s="166"/>
      <c r="X114" s="167"/>
      <c r="Y114" s="167"/>
      <c r="Z114" s="167"/>
      <c r="AA114" s="167"/>
      <c r="AB114" s="167"/>
      <c r="AC114" s="167"/>
      <c r="AD114" s="167"/>
      <c r="AE114" s="167"/>
      <c r="AF114" s="167"/>
      <c r="AG114" s="167"/>
      <c r="AH114" s="167"/>
      <c r="AI114" s="167"/>
      <c r="AJ114" s="167"/>
      <c r="AK114" s="167"/>
      <c r="AL114" s="167"/>
      <c r="AM114" s="167"/>
      <c r="AN114" s="167"/>
      <c r="AO114" s="167"/>
      <c r="AP114" s="167"/>
      <c r="AQ114" s="167"/>
      <c r="AR114" s="167">
        <v>9</v>
      </c>
      <c r="AS114" s="671">
        <v>0.1875</v>
      </c>
      <c r="AT114" s="167"/>
      <c r="AU114" s="167"/>
      <c r="AV114" s="167"/>
      <c r="AW114" s="167"/>
      <c r="AX114" s="167"/>
      <c r="AY114" s="167"/>
      <c r="AZ114" s="167"/>
      <c r="BA114" s="167"/>
      <c r="BB114" s="167"/>
      <c r="BC114" s="167"/>
      <c r="BD114" s="167"/>
      <c r="BE114" s="167"/>
      <c r="BF114" s="167"/>
      <c r="BG114" s="167"/>
      <c r="BH114" s="167"/>
      <c r="BI114" s="167"/>
      <c r="BJ114" s="167"/>
      <c r="BK114" s="167"/>
      <c r="BL114" s="167"/>
      <c r="BM114" s="167"/>
      <c r="BN114" s="167"/>
      <c r="BO114" s="167"/>
      <c r="BP114" s="167"/>
      <c r="BQ114" s="167"/>
      <c r="BR114" s="167"/>
      <c r="BS114" s="167"/>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c r="IW114" s="2"/>
    </row>
    <row r="115" spans="1:257" x14ac:dyDescent="0.3">
      <c r="A115" s="39" t="s">
        <v>149</v>
      </c>
      <c r="B115" s="26"/>
      <c r="C115" s="3"/>
      <c r="D115" s="3"/>
      <c r="E115" s="3"/>
      <c r="F115" s="3"/>
      <c r="G115" s="3"/>
      <c r="H115" s="3"/>
      <c r="I115" s="3"/>
      <c r="J115" s="3"/>
      <c r="K115" s="3"/>
      <c r="L115" s="100"/>
      <c r="M115" s="59"/>
      <c r="N115" s="551">
        <v>126.97424179476528</v>
      </c>
      <c r="O115" s="101" t="s">
        <v>71</v>
      </c>
      <c r="P115" s="102" t="s">
        <v>50</v>
      </c>
      <c r="Q115" s="173">
        <v>135</v>
      </c>
      <c r="R115" s="70" t="s">
        <v>71</v>
      </c>
      <c r="T115" s="680">
        <v>120</v>
      </c>
      <c r="U115" s="166"/>
      <c r="V115" s="166"/>
      <c r="W115" s="166"/>
      <c r="X115" s="166"/>
      <c r="Y115" s="166"/>
      <c r="Z115" s="166"/>
      <c r="AA115" s="166"/>
      <c r="AB115" s="166"/>
      <c r="AC115" s="166"/>
      <c r="AD115" s="166">
        <v>1</v>
      </c>
      <c r="AE115" s="684">
        <v>2</v>
      </c>
      <c r="AF115" s="167"/>
      <c r="AG115" s="676" t="s">
        <v>147</v>
      </c>
      <c r="AH115" s="167"/>
      <c r="AI115" s="167"/>
      <c r="AJ115" s="167"/>
      <c r="AK115" s="167">
        <v>0</v>
      </c>
      <c r="AL115" s="167">
        <v>1</v>
      </c>
      <c r="AM115" s="167">
        <v>2</v>
      </c>
      <c r="AN115" s="167"/>
      <c r="AO115" s="167">
        <v>0</v>
      </c>
      <c r="AP115" s="167">
        <v>2</v>
      </c>
      <c r="AQ115" s="167">
        <v>5</v>
      </c>
      <c r="AR115" s="167"/>
      <c r="AS115" s="167"/>
      <c r="AT115" s="167"/>
      <c r="AU115" s="167">
        <v>5</v>
      </c>
      <c r="AV115" s="167">
        <v>2</v>
      </c>
      <c r="AW115" s="167"/>
      <c r="AX115" s="167">
        <v>4</v>
      </c>
      <c r="AY115" s="167">
        <v>1</v>
      </c>
      <c r="AZ115" s="167"/>
      <c r="BA115" s="167">
        <v>2</v>
      </c>
      <c r="BB115" s="167">
        <v>1</v>
      </c>
      <c r="BC115" s="167"/>
      <c r="BD115" s="167"/>
      <c r="BE115" s="167"/>
      <c r="BF115" s="167"/>
      <c r="BG115" s="167"/>
      <c r="BH115" s="167"/>
      <c r="BI115" s="167"/>
      <c r="BJ115" s="167"/>
      <c r="BK115" s="167"/>
      <c r="BL115" s="167"/>
      <c r="BM115" s="167"/>
      <c r="BN115" s="167"/>
      <c r="BO115" s="167"/>
      <c r="BP115" s="167"/>
      <c r="BQ115" s="167"/>
      <c r="BR115" s="167"/>
      <c r="BS115" s="167"/>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row>
    <row r="116" spans="1:257" ht="8.1" customHeight="1" x14ac:dyDescent="0.3">
      <c r="A116" s="103"/>
      <c r="B116" s="103"/>
      <c r="C116" s="104"/>
      <c r="D116" s="104"/>
      <c r="E116" s="104"/>
      <c r="F116" s="104"/>
      <c r="G116" s="104"/>
      <c r="H116" s="104"/>
      <c r="I116" s="104"/>
      <c r="J116" s="104"/>
      <c r="K116" s="104"/>
      <c r="L116" s="104"/>
      <c r="M116" s="104"/>
      <c r="N116" s="103"/>
      <c r="O116" s="105"/>
      <c r="P116" s="106"/>
      <c r="Q116" s="104"/>
      <c r="R116" s="107"/>
      <c r="T116" s="167"/>
      <c r="U116" s="166"/>
      <c r="V116" s="166"/>
      <c r="W116" s="166"/>
      <c r="X116" s="166"/>
      <c r="Y116" s="166"/>
      <c r="Z116" s="166"/>
      <c r="AA116" s="166"/>
      <c r="AB116" s="166"/>
      <c r="AC116" s="166"/>
      <c r="AD116" s="166"/>
      <c r="AE116" s="166"/>
      <c r="AF116" s="167"/>
      <c r="AG116" s="167"/>
      <c r="AH116" s="167"/>
      <c r="AI116" s="167"/>
      <c r="AJ116" s="167"/>
      <c r="AK116" s="167"/>
      <c r="AL116" s="167"/>
      <c r="AM116" s="167"/>
      <c r="AN116" s="167"/>
      <c r="AO116" s="167"/>
      <c r="AP116" s="167"/>
      <c r="AQ116" s="167"/>
      <c r="AR116" s="167"/>
      <c r="AS116" s="167"/>
      <c r="AT116" s="167"/>
      <c r="AU116" s="167"/>
      <c r="AV116" s="167"/>
      <c r="AW116" s="167"/>
      <c r="AX116" s="167"/>
      <c r="AY116" s="167"/>
      <c r="AZ116" s="167"/>
      <c r="BA116" s="167"/>
      <c r="BB116" s="167"/>
      <c r="BC116" s="167"/>
      <c r="BD116" s="167"/>
      <c r="BE116" s="167"/>
      <c r="BF116" s="167"/>
      <c r="BG116" s="167"/>
      <c r="BH116" s="167"/>
      <c r="BI116" s="167"/>
      <c r="BJ116" s="167"/>
      <c r="BK116" s="167"/>
      <c r="BL116" s="167"/>
      <c r="BM116" s="167"/>
      <c r="BN116" s="167"/>
      <c r="BO116" s="167"/>
      <c r="BP116" s="167"/>
      <c r="BQ116" s="167"/>
      <c r="BR116" s="167"/>
      <c r="BS116" s="167"/>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row>
    <row r="117" spans="1:257" ht="15.6" x14ac:dyDescent="0.3">
      <c r="A117" s="108" t="s">
        <v>150</v>
      </c>
      <c r="B117" s="109"/>
      <c r="C117" s="110"/>
      <c r="D117" s="110"/>
      <c r="E117" s="110"/>
      <c r="F117" s="110"/>
      <c r="G117" s="110"/>
      <c r="H117" s="110"/>
      <c r="I117" s="110"/>
      <c r="J117" s="110"/>
      <c r="K117" s="110"/>
      <c r="L117" s="111"/>
      <c r="M117" s="111"/>
      <c r="N117" s="553">
        <v>73.645060240963858</v>
      </c>
      <c r="O117" s="112" t="s">
        <v>68</v>
      </c>
      <c r="P117" s="113" t="s">
        <v>50</v>
      </c>
      <c r="Q117" s="174">
        <v>135</v>
      </c>
      <c r="R117" s="114" t="s">
        <v>68</v>
      </c>
      <c r="T117" s="680">
        <v>120</v>
      </c>
      <c r="U117" s="166"/>
      <c r="V117" s="166"/>
      <c r="W117" s="166"/>
      <c r="X117" s="166"/>
      <c r="Y117" s="166"/>
      <c r="Z117" s="166"/>
      <c r="AA117" s="166"/>
      <c r="AB117" s="166"/>
      <c r="AC117" s="166"/>
      <c r="AD117" s="166">
        <v>0</v>
      </c>
      <c r="AE117" s="685">
        <v>0</v>
      </c>
      <c r="AF117" s="167"/>
      <c r="AG117" s="167" t="s">
        <v>286</v>
      </c>
      <c r="AH117" s="167"/>
      <c r="AI117" s="167"/>
      <c r="AJ117" s="167"/>
      <c r="AK117" s="167">
        <v>0</v>
      </c>
      <c r="AL117" s="167">
        <v>1</v>
      </c>
      <c r="AM117" s="167">
        <v>2</v>
      </c>
      <c r="AN117" s="167"/>
      <c r="AO117" s="167">
        <v>0</v>
      </c>
      <c r="AP117" s="167">
        <v>1</v>
      </c>
      <c r="AQ117" s="167">
        <v>2</v>
      </c>
      <c r="AR117" s="167"/>
      <c r="AS117" s="167"/>
      <c r="AT117" s="167"/>
      <c r="AU117" s="167">
        <v>4</v>
      </c>
      <c r="AV117" s="167">
        <v>2</v>
      </c>
      <c r="AW117" s="167"/>
      <c r="AX117" s="676">
        <v>5</v>
      </c>
      <c r="AY117" s="167">
        <v>2</v>
      </c>
      <c r="AZ117" s="167"/>
      <c r="BA117" s="167">
        <v>2</v>
      </c>
      <c r="BB117" s="167">
        <v>1</v>
      </c>
      <c r="BC117" s="167"/>
      <c r="BD117" s="167"/>
      <c r="BE117" s="167"/>
      <c r="BF117" s="167"/>
      <c r="BG117" s="167"/>
      <c r="BH117" s="167"/>
      <c r="BI117" s="167"/>
      <c r="BJ117" s="167"/>
      <c r="BK117" s="167"/>
      <c r="BL117" s="167"/>
      <c r="BM117" s="167"/>
      <c r="BN117" s="167"/>
      <c r="BO117" s="167"/>
      <c r="BP117" s="167"/>
      <c r="BQ117" s="167"/>
      <c r="BR117" s="167"/>
      <c r="BS117" s="167"/>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row>
    <row r="118" spans="1:257" ht="8.1" customHeight="1" x14ac:dyDescent="0.3">
      <c r="A118" s="103"/>
      <c r="B118" s="103"/>
      <c r="C118" s="104"/>
      <c r="D118" s="104"/>
      <c r="E118" s="104"/>
      <c r="F118" s="104"/>
      <c r="G118" s="104"/>
      <c r="H118" s="104"/>
      <c r="I118" s="104"/>
      <c r="J118" s="104"/>
      <c r="K118" s="104"/>
      <c r="L118" s="104"/>
      <c r="M118" s="104"/>
      <c r="N118" s="103"/>
      <c r="O118" s="105"/>
      <c r="P118" s="106"/>
      <c r="Q118" s="104"/>
      <c r="R118" s="107"/>
      <c r="T118" s="167"/>
      <c r="U118" s="166"/>
      <c r="V118" s="166"/>
      <c r="W118" s="166"/>
      <c r="X118" s="166"/>
      <c r="Y118" s="166"/>
      <c r="Z118" s="166"/>
      <c r="AA118" s="166"/>
      <c r="AB118" s="166"/>
      <c r="AC118" s="166"/>
      <c r="AD118" s="166"/>
      <c r="AE118" s="166"/>
      <c r="AF118" s="167"/>
      <c r="AG118" s="167"/>
      <c r="AH118" s="167"/>
      <c r="AI118" s="167"/>
      <c r="AJ118" s="167"/>
      <c r="AK118" s="167"/>
      <c r="AL118" s="167"/>
      <c r="AM118" s="167"/>
      <c r="AN118" s="167"/>
      <c r="AO118" s="167"/>
      <c r="AP118" s="167"/>
      <c r="AQ118" s="167"/>
      <c r="AR118" s="167"/>
      <c r="AS118" s="167"/>
      <c r="AT118" s="167"/>
      <c r="AU118" s="167"/>
      <c r="AV118" s="167"/>
      <c r="AW118" s="167"/>
      <c r="AX118" s="167"/>
      <c r="AY118" s="167"/>
      <c r="AZ118" s="167"/>
      <c r="BA118" s="167"/>
      <c r="BB118" s="167"/>
      <c r="BC118" s="167"/>
      <c r="BD118" s="167"/>
      <c r="BE118" s="167"/>
      <c r="BF118" s="167"/>
      <c r="BG118" s="167"/>
      <c r="BH118" s="167"/>
      <c r="BI118" s="167"/>
      <c r="BJ118" s="167"/>
      <c r="BK118" s="167"/>
      <c r="BL118" s="167"/>
      <c r="BM118" s="167"/>
      <c r="BN118" s="167"/>
      <c r="BO118" s="167"/>
      <c r="BP118" s="167"/>
      <c r="BQ118" s="167"/>
      <c r="BR118" s="167"/>
      <c r="BS118" s="167"/>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row>
    <row r="119" spans="1:257" x14ac:dyDescent="0.3">
      <c r="A119" s="26" t="s">
        <v>151</v>
      </c>
      <c r="B119" s="115">
        <v>90</v>
      </c>
      <c r="C119" s="116">
        <v>82</v>
      </c>
      <c r="D119" s="116">
        <v>99</v>
      </c>
      <c r="E119" s="116">
        <v>165</v>
      </c>
      <c r="F119" s="116">
        <v>150</v>
      </c>
      <c r="G119" s="116">
        <v>200</v>
      </c>
      <c r="H119" s="116">
        <v>0</v>
      </c>
      <c r="I119" s="116">
        <v>0</v>
      </c>
      <c r="J119" s="116">
        <v>140</v>
      </c>
      <c r="K119" s="116">
        <v>0</v>
      </c>
      <c r="L119" s="116">
        <v>0</v>
      </c>
      <c r="M119" s="3" t="s">
        <v>113</v>
      </c>
      <c r="N119" s="26"/>
      <c r="O119" s="96"/>
      <c r="P119" s="57"/>
      <c r="R119" s="34"/>
      <c r="T119" s="167"/>
      <c r="U119" s="166"/>
      <c r="V119" s="166"/>
      <c r="W119" s="166"/>
      <c r="X119" s="166"/>
      <c r="Y119" s="166"/>
      <c r="Z119" s="166"/>
      <c r="AA119" s="166"/>
      <c r="AB119" s="166"/>
      <c r="AC119" s="166"/>
      <c r="AD119" s="166"/>
      <c r="AE119" s="166"/>
      <c r="AF119" s="167"/>
      <c r="AG119" s="167"/>
      <c r="AH119" s="167"/>
      <c r="AI119" s="167"/>
      <c r="AJ119" s="167"/>
      <c r="AK119" s="167"/>
      <c r="AL119" s="167"/>
      <c r="AM119" s="167"/>
      <c r="AN119" s="167"/>
      <c r="AO119" s="167"/>
      <c r="AP119" s="167"/>
      <c r="AQ119" s="167"/>
      <c r="AR119" s="167"/>
      <c r="AS119" s="167"/>
      <c r="AT119" s="167"/>
      <c r="AU119" s="167"/>
      <c r="AV119" s="167"/>
      <c r="AW119" s="167"/>
      <c r="AX119" s="167"/>
      <c r="AY119" s="167"/>
      <c r="AZ119" s="167"/>
      <c r="BA119" s="167"/>
      <c r="BB119" s="167"/>
      <c r="BC119" s="167"/>
      <c r="BD119" s="167"/>
      <c r="BE119" s="167"/>
      <c r="BF119" s="167"/>
      <c r="BG119" s="167"/>
      <c r="BH119" s="167"/>
      <c r="BI119" s="167"/>
      <c r="BJ119" s="167"/>
      <c r="BK119" s="167"/>
      <c r="BL119" s="167"/>
      <c r="BM119" s="167"/>
      <c r="BN119" s="167"/>
      <c r="BO119" s="167"/>
      <c r="BP119" s="167"/>
      <c r="BQ119" s="167"/>
      <c r="BR119" s="167"/>
      <c r="BS119" s="167"/>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row>
    <row r="120" spans="1:257" x14ac:dyDescent="0.3">
      <c r="A120" s="26" t="s">
        <v>152</v>
      </c>
      <c r="B120" s="117">
        <v>264</v>
      </c>
      <c r="C120" s="118">
        <v>300</v>
      </c>
      <c r="D120" s="118">
        <v>325</v>
      </c>
      <c r="E120" s="118">
        <v>850</v>
      </c>
      <c r="F120" s="118">
        <v>40</v>
      </c>
      <c r="G120" s="118">
        <v>60</v>
      </c>
      <c r="H120" s="118">
        <v>0</v>
      </c>
      <c r="I120" s="118">
        <v>0</v>
      </c>
      <c r="J120" s="118">
        <v>200</v>
      </c>
      <c r="K120" s="118">
        <v>0</v>
      </c>
      <c r="L120" s="118">
        <v>0</v>
      </c>
      <c r="M120" s="3" t="s">
        <v>110</v>
      </c>
      <c r="N120" s="26"/>
      <c r="O120" s="96"/>
      <c r="R120" s="34"/>
      <c r="T120" s="167"/>
      <c r="U120" s="166"/>
      <c r="V120" s="166"/>
      <c r="W120" s="166"/>
      <c r="X120" s="166"/>
      <c r="Y120" s="166"/>
      <c r="Z120" s="166"/>
      <c r="AA120" s="166"/>
      <c r="AB120" s="166"/>
      <c r="AC120" s="166"/>
      <c r="AD120" s="166"/>
      <c r="AE120" s="166"/>
      <c r="AF120" s="167"/>
      <c r="AG120" s="167"/>
      <c r="AH120" s="167"/>
      <c r="AI120" s="167"/>
      <c r="AJ120" s="167"/>
      <c r="AK120" s="167"/>
      <c r="AL120" s="167"/>
      <c r="AM120" s="167"/>
      <c r="AN120" s="167"/>
      <c r="AO120" s="167"/>
      <c r="AP120" s="167"/>
      <c r="AQ120" s="167"/>
      <c r="AR120" s="167"/>
      <c r="AS120" s="167"/>
      <c r="AT120" s="167"/>
      <c r="AU120" s="167"/>
      <c r="AV120" s="167"/>
      <c r="AW120" s="167"/>
      <c r="AX120" s="167"/>
      <c r="AY120" s="167"/>
      <c r="AZ120" s="167"/>
      <c r="BA120" s="167"/>
      <c r="BB120" s="167"/>
      <c r="BC120" s="167"/>
      <c r="BD120" s="167"/>
      <c r="BE120" s="167"/>
      <c r="BF120" s="167"/>
      <c r="BG120" s="167"/>
      <c r="BH120" s="167"/>
      <c r="BI120" s="167"/>
      <c r="BJ120" s="167"/>
      <c r="BK120" s="167"/>
      <c r="BL120" s="167"/>
      <c r="BM120" s="167"/>
      <c r="BN120" s="167"/>
      <c r="BO120" s="167"/>
      <c r="BP120" s="167"/>
      <c r="BQ120" s="167"/>
      <c r="BR120" s="167"/>
      <c r="BS120" s="167"/>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row>
    <row r="121" spans="1:257" x14ac:dyDescent="0.3">
      <c r="A121" s="64" t="s">
        <v>153</v>
      </c>
      <c r="B121" s="435">
        <v>1733.5295999999998</v>
      </c>
      <c r="C121" s="160">
        <v>1794.816</v>
      </c>
      <c r="D121" s="160">
        <v>2347.4879999999998</v>
      </c>
      <c r="E121" s="160">
        <v>10232.64</v>
      </c>
      <c r="F121" s="160">
        <v>437.76</v>
      </c>
      <c r="G121" s="160">
        <v>875.52</v>
      </c>
      <c r="H121" s="160">
        <v>0</v>
      </c>
      <c r="I121" s="160">
        <v>0</v>
      </c>
      <c r="J121" s="160">
        <v>1807.68</v>
      </c>
      <c r="K121" s="160">
        <v>0</v>
      </c>
      <c r="L121" s="160">
        <v>0</v>
      </c>
      <c r="M121" s="92"/>
      <c r="N121" s="552">
        <v>19901.724137931036</v>
      </c>
      <c r="O121" s="119" t="s">
        <v>78</v>
      </c>
      <c r="P121" s="68" t="s">
        <v>55</v>
      </c>
      <c r="Q121" s="120">
        <v>19229.4336</v>
      </c>
      <c r="R121" s="46" t="s">
        <v>78</v>
      </c>
      <c r="T121" s="673">
        <v>21011.9604</v>
      </c>
      <c r="U121" s="166"/>
      <c r="V121" s="166"/>
      <c r="W121" s="166"/>
      <c r="X121" s="166"/>
      <c r="Y121" s="166"/>
      <c r="Z121" s="166"/>
      <c r="AA121" s="166"/>
      <c r="AB121" s="166"/>
      <c r="AC121" s="166"/>
      <c r="AD121" s="166">
        <v>1</v>
      </c>
      <c r="AE121" s="166">
        <v>1</v>
      </c>
      <c r="AF121" s="167"/>
      <c r="AG121" s="167" t="s">
        <v>287</v>
      </c>
      <c r="AH121" s="167"/>
      <c r="AI121" s="167"/>
      <c r="AJ121" s="167"/>
      <c r="AK121" s="167">
        <v>0</v>
      </c>
      <c r="AL121" s="167">
        <v>1</v>
      </c>
      <c r="AM121" s="167">
        <v>2</v>
      </c>
      <c r="AN121" s="167"/>
      <c r="AO121" s="167">
        <v>0</v>
      </c>
      <c r="AP121" s="167">
        <v>1</v>
      </c>
      <c r="AQ121" s="167">
        <v>2</v>
      </c>
      <c r="AR121" s="167"/>
      <c r="AS121" s="167"/>
      <c r="AT121" s="167"/>
      <c r="AU121" s="167">
        <v>1</v>
      </c>
      <c r="AV121" s="167">
        <v>1</v>
      </c>
      <c r="AW121" s="167"/>
      <c r="AX121" s="167">
        <v>4</v>
      </c>
      <c r="AY121" s="167">
        <v>1</v>
      </c>
      <c r="AZ121" s="167"/>
      <c r="BA121" s="167">
        <v>2</v>
      </c>
      <c r="BB121" s="167">
        <v>1</v>
      </c>
      <c r="BC121" s="167"/>
      <c r="BD121" s="167"/>
      <c r="BE121" s="167"/>
      <c r="BF121" s="167"/>
      <c r="BG121" s="167"/>
      <c r="BH121" s="167"/>
      <c r="BI121" s="167"/>
      <c r="BJ121" s="167"/>
      <c r="BK121" s="167"/>
      <c r="BL121" s="167"/>
      <c r="BM121" s="167"/>
      <c r="BN121" s="167"/>
      <c r="BO121" s="167"/>
      <c r="BP121" s="167"/>
      <c r="BQ121" s="167"/>
      <c r="BR121" s="167"/>
      <c r="BS121" s="167"/>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row>
    <row r="122" spans="1:257" ht="8.1" customHeight="1" x14ac:dyDescent="0.3">
      <c r="A122" s="26"/>
      <c r="B122" s="435">
        <v>1887.4944</v>
      </c>
      <c r="C122" s="160">
        <v>1954.2240000000002</v>
      </c>
      <c r="D122" s="160">
        <v>2555.982</v>
      </c>
      <c r="E122" s="160">
        <v>11141.460000000001</v>
      </c>
      <c r="F122" s="160">
        <v>476.64000000000004</v>
      </c>
      <c r="G122" s="160">
        <v>953.28000000000009</v>
      </c>
      <c r="H122" s="160">
        <v>0</v>
      </c>
      <c r="I122" s="160">
        <v>0</v>
      </c>
      <c r="J122" s="160">
        <v>2042.8799999999999</v>
      </c>
      <c r="K122" s="160">
        <v>0</v>
      </c>
      <c r="L122" s="160">
        <v>0</v>
      </c>
      <c r="M122" s="3"/>
      <c r="N122" s="26"/>
      <c r="O122" s="96"/>
      <c r="P122" s="57"/>
      <c r="R122" s="34"/>
      <c r="T122" s="167"/>
      <c r="U122" s="166"/>
      <c r="V122" s="166"/>
      <c r="W122" s="166"/>
      <c r="X122" s="166"/>
      <c r="Y122" s="166"/>
      <c r="Z122" s="166"/>
      <c r="AA122" s="166"/>
      <c r="AB122" s="166"/>
      <c r="AC122" s="166"/>
      <c r="AD122" s="166"/>
      <c r="AE122" s="166"/>
      <c r="AF122" s="167"/>
      <c r="AG122" s="167"/>
      <c r="AH122" s="167"/>
      <c r="AI122" s="167"/>
      <c r="AJ122" s="167"/>
      <c r="AK122" s="167"/>
      <c r="AL122" s="167"/>
      <c r="AM122" s="167"/>
      <c r="AN122" s="167"/>
      <c r="AO122" s="167"/>
      <c r="AP122" s="167"/>
      <c r="AQ122" s="167"/>
      <c r="AR122" s="167"/>
      <c r="AS122" s="167"/>
      <c r="AT122" s="167"/>
      <c r="AU122" s="167"/>
      <c r="AV122" s="167"/>
      <c r="AW122" s="167"/>
      <c r="AX122" s="167"/>
      <c r="AY122" s="167"/>
      <c r="AZ122" s="167"/>
      <c r="BA122" s="167"/>
      <c r="BB122" s="167"/>
      <c r="BC122" s="167"/>
      <c r="BD122" s="167"/>
      <c r="BE122" s="167"/>
      <c r="BF122" s="167"/>
      <c r="BG122" s="167"/>
      <c r="BH122" s="167"/>
      <c r="BI122" s="167"/>
      <c r="BJ122" s="167"/>
      <c r="BK122" s="167"/>
      <c r="BL122" s="167"/>
      <c r="BM122" s="167"/>
      <c r="BN122" s="167"/>
      <c r="BO122" s="167"/>
      <c r="BP122" s="167"/>
      <c r="BQ122" s="167"/>
      <c r="BR122" s="167"/>
      <c r="BS122" s="167"/>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c r="IF122" s="2"/>
      <c r="IG122" s="2"/>
      <c r="IH122" s="2"/>
      <c r="II122" s="2"/>
      <c r="IJ122" s="2"/>
      <c r="IK122" s="2"/>
      <c r="IL122" s="2"/>
      <c r="IM122" s="2"/>
      <c r="IN122" s="2"/>
      <c r="IO122" s="2"/>
      <c r="IP122" s="2"/>
      <c r="IQ122" s="2"/>
      <c r="IR122" s="2"/>
      <c r="IS122" s="2"/>
      <c r="IT122" s="2"/>
      <c r="IU122" s="2"/>
      <c r="IV122" s="2"/>
      <c r="IW122" s="2"/>
    </row>
    <row r="123" spans="1:257" ht="8.1" customHeight="1" x14ac:dyDescent="0.3">
      <c r="A123" s="12"/>
      <c r="B123" s="12"/>
      <c r="C123" s="16"/>
      <c r="D123" s="16"/>
      <c r="E123" s="16"/>
      <c r="F123" s="16"/>
      <c r="G123" s="16"/>
      <c r="H123" s="16"/>
      <c r="I123" s="16"/>
      <c r="J123" s="16"/>
      <c r="K123" s="16"/>
      <c r="L123" s="16"/>
      <c r="M123" s="16"/>
      <c r="N123" s="12"/>
      <c r="O123" s="121"/>
      <c r="P123" s="53"/>
      <c r="Q123" s="16"/>
      <c r="R123" s="122"/>
      <c r="T123" s="167"/>
      <c r="U123" s="166"/>
      <c r="V123" s="166"/>
      <c r="W123" s="166"/>
      <c r="X123" s="166"/>
      <c r="Y123" s="166"/>
      <c r="Z123" s="166"/>
      <c r="AA123" s="166"/>
      <c r="AB123" s="166"/>
      <c r="AC123" s="166"/>
      <c r="AD123" s="166"/>
      <c r="AE123" s="166"/>
      <c r="AF123" s="167"/>
      <c r="AG123" s="167"/>
      <c r="AH123" s="167"/>
      <c r="AI123" s="167"/>
      <c r="AJ123" s="167"/>
      <c r="AK123" s="167"/>
      <c r="AL123" s="167"/>
      <c r="AM123" s="167"/>
      <c r="AN123" s="167"/>
      <c r="AO123" s="167"/>
      <c r="AP123" s="167"/>
      <c r="AQ123" s="167"/>
      <c r="AR123" s="167"/>
      <c r="AS123" s="167"/>
      <c r="AT123" s="167"/>
      <c r="AU123" s="167"/>
      <c r="AV123" s="167"/>
      <c r="AW123" s="167"/>
      <c r="AX123" s="167"/>
      <c r="AY123" s="167"/>
      <c r="AZ123" s="167"/>
      <c r="BA123" s="167"/>
      <c r="BB123" s="167"/>
      <c r="BC123" s="167"/>
      <c r="BD123" s="167"/>
      <c r="BE123" s="167"/>
      <c r="BF123" s="167"/>
      <c r="BG123" s="167"/>
      <c r="BH123" s="167"/>
      <c r="BI123" s="167"/>
      <c r="BJ123" s="167"/>
      <c r="BK123" s="167"/>
      <c r="BL123" s="167"/>
      <c r="BM123" s="167"/>
      <c r="BN123" s="167"/>
      <c r="BO123" s="167"/>
      <c r="BP123" s="167"/>
      <c r="BQ123" s="167"/>
      <c r="BR123" s="167"/>
      <c r="BS123" s="167"/>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c r="IF123" s="2"/>
      <c r="IG123" s="2"/>
      <c r="IH123" s="2"/>
      <c r="II123" s="2"/>
      <c r="IJ123" s="2"/>
      <c r="IK123" s="2"/>
      <c r="IL123" s="2"/>
      <c r="IM123" s="2"/>
      <c r="IN123" s="2"/>
      <c r="IO123" s="2"/>
      <c r="IP123" s="2"/>
      <c r="IQ123" s="2"/>
      <c r="IR123" s="2"/>
      <c r="IS123" s="2"/>
      <c r="IT123" s="2"/>
      <c r="IU123" s="2"/>
      <c r="IV123" s="2"/>
      <c r="IW123" s="2"/>
    </row>
    <row r="124" spans="1:257" x14ac:dyDescent="0.3">
      <c r="A124" s="79" t="s">
        <v>154</v>
      </c>
      <c r="C124" s="27"/>
      <c r="D124" s="27"/>
      <c r="E124" s="27"/>
      <c r="F124" s="27"/>
      <c r="G124" s="27"/>
      <c r="H124" s="27"/>
      <c r="I124" s="27"/>
      <c r="J124" s="27"/>
      <c r="K124" s="27"/>
      <c r="L124" s="177">
        <v>6703</v>
      </c>
      <c r="M124" s="28" t="s">
        <v>103</v>
      </c>
      <c r="N124" s="26"/>
      <c r="O124" s="22"/>
      <c r="Q124" s="2"/>
      <c r="R124" s="70"/>
      <c r="T124" s="167"/>
      <c r="U124" s="166"/>
      <c r="V124" s="166"/>
      <c r="W124" s="166"/>
      <c r="X124" s="166"/>
      <c r="Y124" s="166"/>
      <c r="Z124" s="166"/>
      <c r="AA124" s="166"/>
      <c r="AB124" s="166"/>
      <c r="AC124" s="166"/>
      <c r="AD124" s="166"/>
      <c r="AE124" s="166"/>
      <c r="AF124" s="167"/>
      <c r="AG124" s="167"/>
      <c r="AH124" s="167"/>
      <c r="AI124" s="167"/>
      <c r="AJ124" s="167"/>
      <c r="AK124" s="167"/>
      <c r="AL124" s="167"/>
      <c r="AM124" s="167"/>
      <c r="AN124" s="167"/>
      <c r="AO124" s="167"/>
      <c r="AP124" s="167"/>
      <c r="AQ124" s="167"/>
      <c r="AR124" s="167"/>
      <c r="AS124" s="167"/>
      <c r="AT124" s="167"/>
      <c r="AU124" s="167"/>
      <c r="AV124" s="167"/>
      <c r="AW124" s="167"/>
      <c r="AX124" s="167"/>
      <c r="AY124" s="167"/>
      <c r="AZ124" s="167"/>
      <c r="BA124" s="167"/>
      <c r="BB124" s="167"/>
      <c r="BC124" s="167"/>
      <c r="BD124" s="167"/>
      <c r="BE124" s="167"/>
      <c r="BF124" s="167"/>
      <c r="BG124" s="167"/>
      <c r="BH124" s="167"/>
      <c r="BI124" s="167"/>
      <c r="BJ124" s="167"/>
      <c r="BK124" s="167"/>
      <c r="BL124" s="167"/>
      <c r="BM124" s="167"/>
      <c r="BN124" s="167"/>
      <c r="BO124" s="167"/>
      <c r="BP124" s="167"/>
      <c r="BQ124" s="167"/>
      <c r="BR124" s="167"/>
      <c r="BS124" s="167"/>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c r="IF124" s="2"/>
      <c r="IG124" s="2"/>
      <c r="IH124" s="2"/>
      <c r="II124" s="2"/>
      <c r="IJ124" s="2"/>
      <c r="IK124" s="2"/>
      <c r="IL124" s="2"/>
      <c r="IM124" s="2"/>
      <c r="IN124" s="2"/>
      <c r="IO124" s="2"/>
      <c r="IP124" s="2"/>
      <c r="IQ124" s="2"/>
      <c r="IR124" s="2"/>
      <c r="IS124" s="2"/>
      <c r="IT124" s="2"/>
      <c r="IU124" s="2"/>
      <c r="IV124" s="2"/>
      <c r="IW124" s="2"/>
    </row>
    <row r="125" spans="1:257" x14ac:dyDescent="0.3">
      <c r="A125" s="79" t="s">
        <v>155</v>
      </c>
      <c r="C125" s="27"/>
      <c r="D125" s="27"/>
      <c r="E125" s="27"/>
      <c r="F125" s="27"/>
      <c r="G125" s="27"/>
      <c r="H125" s="27"/>
      <c r="I125" s="27"/>
      <c r="J125" s="27"/>
      <c r="K125" s="27"/>
      <c r="L125" s="177"/>
      <c r="M125" s="28" t="s">
        <v>103</v>
      </c>
      <c r="N125" s="30">
        <v>0</v>
      </c>
      <c r="O125" s="67" t="s">
        <v>68</v>
      </c>
      <c r="P125" s="68"/>
      <c r="Q125" s="123"/>
      <c r="R125" s="70"/>
      <c r="T125" s="167"/>
      <c r="U125" s="166"/>
      <c r="V125" s="166"/>
      <c r="W125" s="166"/>
      <c r="X125" s="166"/>
      <c r="Y125" s="166"/>
      <c r="Z125" s="166"/>
      <c r="AA125" s="166"/>
      <c r="AB125" s="166"/>
      <c r="AC125" s="166"/>
      <c r="AD125" s="166"/>
      <c r="AE125" s="166"/>
      <c r="AF125" s="167"/>
      <c r="AG125" s="167"/>
      <c r="AH125" s="167"/>
      <c r="AI125" s="167"/>
      <c r="AJ125" s="167"/>
      <c r="AK125" s="167"/>
      <c r="AL125" s="167"/>
      <c r="AM125" s="167"/>
      <c r="AN125" s="167"/>
      <c r="AO125" s="167"/>
      <c r="AP125" s="167"/>
      <c r="AQ125" s="167"/>
      <c r="AR125" s="167">
        <v>6</v>
      </c>
      <c r="AS125" s="671">
        <v>0.125</v>
      </c>
      <c r="AT125" s="167"/>
      <c r="AU125" s="167"/>
      <c r="AV125" s="167"/>
      <c r="AW125" s="167"/>
      <c r="AX125" s="167"/>
      <c r="AY125" s="167"/>
      <c r="AZ125" s="167"/>
      <c r="BA125" s="167"/>
      <c r="BB125" s="167"/>
      <c r="BC125" s="167"/>
      <c r="BD125" s="167"/>
      <c r="BE125" s="167"/>
      <c r="BF125" s="167"/>
      <c r="BG125" s="167"/>
      <c r="BH125" s="167"/>
      <c r="BI125" s="167"/>
      <c r="BJ125" s="167"/>
      <c r="BK125" s="167"/>
      <c r="BL125" s="167"/>
      <c r="BM125" s="167"/>
      <c r="BN125" s="167"/>
      <c r="BO125" s="167"/>
      <c r="BP125" s="167"/>
      <c r="BQ125" s="167"/>
      <c r="BR125" s="167"/>
      <c r="BS125" s="167"/>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c r="IF125" s="2"/>
      <c r="IG125" s="2"/>
      <c r="IH125" s="2"/>
      <c r="II125" s="2"/>
      <c r="IJ125" s="2"/>
      <c r="IK125" s="2"/>
      <c r="IL125" s="2"/>
      <c r="IM125" s="2"/>
      <c r="IN125" s="2"/>
      <c r="IO125" s="2"/>
      <c r="IP125" s="2"/>
      <c r="IQ125" s="2"/>
      <c r="IR125" s="2"/>
      <c r="IS125" s="2"/>
      <c r="IT125" s="2"/>
      <c r="IU125" s="2"/>
      <c r="IV125" s="2"/>
      <c r="IW125" s="2"/>
    </row>
    <row r="126" spans="1:257" x14ac:dyDescent="0.3">
      <c r="A126" s="81" t="s">
        <v>156</v>
      </c>
      <c r="C126" s="27"/>
      <c r="D126" s="27"/>
      <c r="E126" s="27"/>
      <c r="F126" s="27"/>
      <c r="G126" s="27"/>
      <c r="H126" s="27"/>
      <c r="I126" s="27"/>
      <c r="J126" s="27"/>
      <c r="K126" s="27"/>
      <c r="L126" s="27"/>
      <c r="M126" s="28"/>
      <c r="N126" s="551">
        <v>40.379518072289159</v>
      </c>
      <c r="O126" s="67" t="s">
        <v>68</v>
      </c>
      <c r="P126" s="68" t="s">
        <v>50</v>
      </c>
      <c r="Q126" s="175">
        <v>145</v>
      </c>
      <c r="R126" s="70" t="s">
        <v>68</v>
      </c>
      <c r="T126" s="167">
        <v>105</v>
      </c>
      <c r="U126" s="166"/>
      <c r="V126" s="166"/>
      <c r="W126" s="166"/>
      <c r="X126" s="166"/>
      <c r="Y126" s="166"/>
      <c r="Z126" s="166"/>
      <c r="AA126" s="166"/>
      <c r="AB126" s="166"/>
      <c r="AC126" s="166"/>
      <c r="AD126" s="166">
        <v>0</v>
      </c>
      <c r="AE126" s="684">
        <v>0</v>
      </c>
      <c r="AF126" s="167"/>
      <c r="AG126" s="676" t="s">
        <v>288</v>
      </c>
      <c r="AH126" s="167"/>
      <c r="AI126" s="167"/>
      <c r="AJ126" s="167"/>
      <c r="AK126" s="167">
        <v>0</v>
      </c>
      <c r="AL126" s="167">
        <v>1</v>
      </c>
      <c r="AM126" s="167">
        <v>2</v>
      </c>
      <c r="AN126" s="167"/>
      <c r="AO126" s="167">
        <v>0</v>
      </c>
      <c r="AP126" s="167">
        <v>2</v>
      </c>
      <c r="AQ126" s="167">
        <v>6</v>
      </c>
      <c r="AR126" s="167"/>
      <c r="AS126" s="167"/>
      <c r="AT126" s="167"/>
      <c r="AU126" s="167">
        <v>2</v>
      </c>
      <c r="AV126" s="167">
        <v>1</v>
      </c>
      <c r="AW126" s="167"/>
      <c r="AX126" s="167">
        <v>5</v>
      </c>
      <c r="AY126" s="167">
        <v>2</v>
      </c>
      <c r="AZ126" s="167"/>
      <c r="BA126" s="167">
        <v>2</v>
      </c>
      <c r="BB126" s="167">
        <v>1</v>
      </c>
      <c r="BC126" s="167"/>
      <c r="BD126" s="167"/>
      <c r="BE126" s="167"/>
      <c r="BF126" s="167"/>
      <c r="BG126" s="167"/>
      <c r="BH126" s="167"/>
      <c r="BI126" s="167"/>
      <c r="BJ126" s="167"/>
      <c r="BK126" s="167"/>
      <c r="BL126" s="167"/>
      <c r="BM126" s="167"/>
      <c r="BN126" s="167"/>
      <c r="BO126" s="167"/>
      <c r="BP126" s="167"/>
      <c r="BQ126" s="167"/>
      <c r="BR126" s="167"/>
      <c r="BS126" s="167"/>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c r="IF126" s="2"/>
      <c r="IG126" s="2"/>
      <c r="IH126" s="2"/>
      <c r="II126" s="2"/>
      <c r="IJ126" s="2"/>
      <c r="IK126" s="2"/>
      <c r="IL126" s="2"/>
      <c r="IM126" s="2"/>
      <c r="IN126" s="2"/>
      <c r="IO126" s="2"/>
      <c r="IP126" s="2"/>
      <c r="IQ126" s="2"/>
      <c r="IR126" s="2"/>
      <c r="IS126" s="2"/>
      <c r="IT126" s="2"/>
      <c r="IU126" s="2"/>
      <c r="IV126" s="2"/>
      <c r="IW126" s="2"/>
    </row>
    <row r="127" spans="1:257" ht="8.1" customHeight="1" x14ac:dyDescent="0.3">
      <c r="A127" s="124"/>
      <c r="B127" s="48"/>
      <c r="C127" s="37"/>
      <c r="D127" s="37"/>
      <c r="E127" s="37"/>
      <c r="F127" s="37"/>
      <c r="G127" s="37"/>
      <c r="H127" s="37"/>
      <c r="I127" s="37"/>
      <c r="J127" s="37"/>
      <c r="K127" s="37"/>
      <c r="L127" s="37"/>
      <c r="M127" s="37"/>
      <c r="N127" s="48"/>
      <c r="O127" s="125"/>
      <c r="P127" s="57"/>
      <c r="R127" s="34"/>
      <c r="T127" s="167"/>
      <c r="U127" s="166"/>
      <c r="V127" s="166"/>
      <c r="W127" s="166"/>
      <c r="X127" s="166"/>
      <c r="Y127" s="166"/>
      <c r="Z127" s="166"/>
      <c r="AA127" s="166"/>
      <c r="AB127" s="166"/>
      <c r="AC127" s="166"/>
      <c r="AD127" s="166"/>
      <c r="AE127" s="166"/>
      <c r="AF127" s="167"/>
      <c r="AG127" s="167"/>
      <c r="AH127" s="167"/>
      <c r="AI127" s="167"/>
      <c r="AJ127" s="167"/>
      <c r="AK127" s="167"/>
      <c r="AL127" s="167"/>
      <c r="AM127" s="167"/>
      <c r="AN127" s="167"/>
      <c r="AO127" s="167"/>
      <c r="AP127" s="167"/>
      <c r="AQ127" s="167"/>
      <c r="AR127" s="167"/>
      <c r="AS127" s="167"/>
      <c r="AT127" s="167"/>
      <c r="AU127" s="167"/>
      <c r="AV127" s="167"/>
      <c r="AW127" s="167"/>
      <c r="AX127" s="167"/>
      <c r="AY127" s="167"/>
      <c r="AZ127" s="167"/>
      <c r="BA127" s="167"/>
      <c r="BB127" s="167"/>
      <c r="BC127" s="167"/>
      <c r="BD127" s="167"/>
      <c r="BE127" s="167"/>
      <c r="BF127" s="167"/>
      <c r="BG127" s="167"/>
      <c r="BH127" s="167"/>
      <c r="BI127" s="167"/>
      <c r="BJ127" s="167"/>
      <c r="BK127" s="167"/>
      <c r="BL127" s="167"/>
      <c r="BM127" s="167"/>
      <c r="BN127" s="167"/>
      <c r="BO127" s="167"/>
      <c r="BP127" s="167"/>
      <c r="BQ127" s="167"/>
      <c r="BR127" s="167"/>
      <c r="BS127" s="167"/>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c r="IF127" s="2"/>
      <c r="IG127" s="2"/>
      <c r="IH127" s="2"/>
      <c r="II127" s="2"/>
      <c r="IJ127" s="2"/>
      <c r="IK127" s="2"/>
      <c r="IL127" s="2"/>
      <c r="IM127" s="2"/>
      <c r="IN127" s="2"/>
      <c r="IO127" s="2"/>
      <c r="IP127" s="2"/>
      <c r="IQ127" s="2"/>
      <c r="IR127" s="2"/>
      <c r="IS127" s="2"/>
      <c r="IT127" s="2"/>
      <c r="IU127" s="2"/>
      <c r="IV127" s="2"/>
      <c r="IW127" s="2"/>
    </row>
    <row r="128" spans="1:257" ht="8.1" customHeight="1" x14ac:dyDescent="0.3">
      <c r="A128" s="12"/>
      <c r="B128" s="12"/>
      <c r="C128" s="16"/>
      <c r="D128" s="16"/>
      <c r="E128" s="16"/>
      <c r="F128" s="16"/>
      <c r="G128" s="16"/>
      <c r="H128" s="16"/>
      <c r="I128" s="16"/>
      <c r="J128" s="16"/>
      <c r="K128" s="16"/>
      <c r="L128" s="16"/>
      <c r="M128" s="16"/>
      <c r="N128" s="12"/>
      <c r="O128" s="121"/>
      <c r="P128" s="53"/>
      <c r="Q128" s="16"/>
      <c r="R128" s="122"/>
      <c r="T128" s="167"/>
      <c r="U128" s="166"/>
      <c r="V128" s="166"/>
      <c r="W128" s="166"/>
      <c r="X128" s="166"/>
      <c r="Y128" s="166"/>
      <c r="Z128" s="166"/>
      <c r="AA128" s="166"/>
      <c r="AB128" s="166"/>
      <c r="AC128" s="166"/>
      <c r="AD128" s="166"/>
      <c r="AE128" s="166"/>
      <c r="AF128" s="167"/>
      <c r="AG128" s="167"/>
      <c r="AH128" s="167"/>
      <c r="AI128" s="167"/>
      <c r="AJ128" s="167"/>
      <c r="AK128" s="167"/>
      <c r="AL128" s="167"/>
      <c r="AM128" s="167"/>
      <c r="AN128" s="167"/>
      <c r="AO128" s="167"/>
      <c r="AP128" s="167"/>
      <c r="AQ128" s="167"/>
      <c r="AR128" s="167"/>
      <c r="AS128" s="167"/>
      <c r="AT128" s="167"/>
      <c r="AU128" s="167"/>
      <c r="AV128" s="167"/>
      <c r="AW128" s="167"/>
      <c r="AX128" s="167"/>
      <c r="AY128" s="167"/>
      <c r="AZ128" s="167"/>
      <c r="BA128" s="167"/>
      <c r="BB128" s="167"/>
      <c r="BC128" s="167"/>
      <c r="BD128" s="167"/>
      <c r="BE128" s="167"/>
      <c r="BF128" s="167"/>
      <c r="BG128" s="167"/>
      <c r="BH128" s="167"/>
      <c r="BI128" s="167"/>
      <c r="BJ128" s="167"/>
      <c r="BK128" s="167"/>
      <c r="BL128" s="167"/>
      <c r="BM128" s="167"/>
      <c r="BN128" s="167"/>
      <c r="BO128" s="167"/>
      <c r="BP128" s="167"/>
      <c r="BQ128" s="167"/>
      <c r="BR128" s="167"/>
      <c r="BS128" s="167"/>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c r="IF128" s="2"/>
      <c r="IG128" s="2"/>
      <c r="IH128" s="2"/>
      <c r="II128" s="2"/>
      <c r="IJ128" s="2"/>
      <c r="IK128" s="2"/>
      <c r="IL128" s="2"/>
      <c r="IM128" s="2"/>
      <c r="IN128" s="2"/>
      <c r="IO128" s="2"/>
      <c r="IP128" s="2"/>
      <c r="IQ128" s="2"/>
      <c r="IR128" s="2"/>
      <c r="IS128" s="2"/>
      <c r="IT128" s="2"/>
      <c r="IU128" s="2"/>
      <c r="IV128" s="2"/>
      <c r="IW128" s="2"/>
    </row>
    <row r="129" spans="1:257" x14ac:dyDescent="0.3">
      <c r="A129" s="26" t="s">
        <v>354</v>
      </c>
      <c r="B129" s="197">
        <v>2</v>
      </c>
      <c r="C129" s="28" t="s">
        <v>157</v>
      </c>
      <c r="D129" s="28"/>
      <c r="E129" s="28"/>
      <c r="F129" s="28"/>
      <c r="G129" s="28"/>
      <c r="H129" s="28"/>
      <c r="I129" s="28"/>
      <c r="J129" s="28"/>
      <c r="K129" s="28"/>
      <c r="L129" s="28"/>
      <c r="M129" s="28"/>
      <c r="N129" s="26"/>
      <c r="O129" s="22"/>
      <c r="P129" s="57"/>
      <c r="R129" s="34"/>
      <c r="T129" s="167"/>
      <c r="U129" s="166"/>
      <c r="V129" s="166"/>
      <c r="W129" s="166"/>
      <c r="X129" s="166"/>
      <c r="Y129" s="166"/>
      <c r="Z129" s="166"/>
      <c r="AA129" s="166"/>
      <c r="AB129" s="166"/>
      <c r="AC129" s="166"/>
      <c r="AD129" s="166"/>
      <c r="AE129" s="166"/>
      <c r="AF129" s="167"/>
      <c r="AG129" s="167"/>
      <c r="AH129" s="167"/>
      <c r="AI129" s="167"/>
      <c r="AJ129" s="167"/>
      <c r="AK129" s="167"/>
      <c r="AL129" s="167"/>
      <c r="AM129" s="167"/>
      <c r="AN129" s="167"/>
      <c r="AO129" s="167"/>
      <c r="AP129" s="167"/>
      <c r="AQ129" s="167"/>
      <c r="AR129" s="167"/>
      <c r="AS129" s="167"/>
      <c r="AT129" s="167"/>
      <c r="AU129" s="167"/>
      <c r="AV129" s="167"/>
      <c r="AW129" s="167"/>
      <c r="AX129" s="167"/>
      <c r="AY129" s="167"/>
      <c r="AZ129" s="167"/>
      <c r="BA129" s="167"/>
      <c r="BB129" s="167"/>
      <c r="BC129" s="167"/>
      <c r="BD129" s="167"/>
      <c r="BE129" s="167"/>
      <c r="BF129" s="167"/>
      <c r="BG129" s="167"/>
      <c r="BH129" s="167"/>
      <c r="BI129" s="167"/>
      <c r="BJ129" s="167"/>
      <c r="BK129" s="167"/>
      <c r="BL129" s="167"/>
      <c r="BM129" s="167"/>
      <c r="BN129" s="167"/>
      <c r="BO129" s="167"/>
      <c r="BP129" s="167"/>
      <c r="BQ129" s="167"/>
      <c r="BR129" s="167"/>
      <c r="BS129" s="167"/>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c r="IF129" s="2"/>
      <c r="IG129" s="2"/>
      <c r="IH129" s="2"/>
      <c r="II129" s="2"/>
      <c r="IJ129" s="2"/>
      <c r="IK129" s="2"/>
      <c r="IL129" s="2"/>
      <c r="IM129" s="2"/>
      <c r="IN129" s="2"/>
      <c r="IO129" s="2"/>
      <c r="IP129" s="2"/>
      <c r="IQ129" s="2"/>
      <c r="IR129" s="2"/>
      <c r="IS129" s="2"/>
      <c r="IT129" s="2"/>
      <c r="IU129" s="2"/>
      <c r="IV129" s="2"/>
      <c r="IW129" s="2"/>
    </row>
    <row r="130" spans="1:257" x14ac:dyDescent="0.3">
      <c r="A130" s="26" t="s">
        <v>355</v>
      </c>
      <c r="B130" s="191">
        <v>24000</v>
      </c>
      <c r="C130" s="28" t="s">
        <v>357</v>
      </c>
      <c r="D130" s="28"/>
      <c r="E130" s="28"/>
      <c r="F130" s="28"/>
      <c r="G130" s="28"/>
      <c r="H130" s="28"/>
      <c r="I130" s="28"/>
      <c r="J130" s="28"/>
      <c r="K130" s="28"/>
      <c r="L130" s="28"/>
      <c r="M130" s="28"/>
      <c r="N130" s="26"/>
      <c r="O130" s="22"/>
      <c r="Q130" s="2"/>
      <c r="R130" s="34"/>
      <c r="T130" s="167"/>
      <c r="U130" s="166"/>
      <c r="V130" s="166"/>
      <c r="W130" s="166"/>
      <c r="X130" s="166"/>
      <c r="Y130" s="166"/>
      <c r="Z130" s="166"/>
      <c r="AA130" s="166"/>
      <c r="AB130" s="166"/>
      <c r="AC130" s="166"/>
      <c r="AD130" s="166"/>
      <c r="AE130" s="166"/>
      <c r="AF130" s="167"/>
      <c r="AG130" s="167"/>
      <c r="AH130" s="167"/>
      <c r="AI130" s="167"/>
      <c r="AJ130" s="167"/>
      <c r="AK130" s="167"/>
      <c r="AL130" s="167"/>
      <c r="AM130" s="167"/>
      <c r="AN130" s="167"/>
      <c r="AO130" s="167"/>
      <c r="AP130" s="167"/>
      <c r="AQ130" s="167"/>
      <c r="AR130" s="167">
        <v>6</v>
      </c>
      <c r="AS130" s="671">
        <v>0.125</v>
      </c>
      <c r="AT130" s="167"/>
      <c r="AU130" s="167"/>
      <c r="AV130" s="167"/>
      <c r="AW130" s="167"/>
      <c r="AX130" s="167"/>
      <c r="AY130" s="167"/>
      <c r="AZ130" s="167"/>
      <c r="BA130" s="167"/>
      <c r="BB130" s="167"/>
      <c r="BC130" s="167"/>
      <c r="BD130" s="167"/>
      <c r="BE130" s="167"/>
      <c r="BF130" s="167"/>
      <c r="BG130" s="167"/>
      <c r="BH130" s="167"/>
      <c r="BI130" s="167"/>
      <c r="BJ130" s="167"/>
      <c r="BK130" s="167"/>
      <c r="BL130" s="167"/>
      <c r="BM130" s="167"/>
      <c r="BN130" s="167"/>
      <c r="BO130" s="167"/>
      <c r="BP130" s="167"/>
      <c r="BQ130" s="167"/>
      <c r="BR130" s="167"/>
      <c r="BS130" s="167"/>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c r="IF130" s="2"/>
      <c r="IG130" s="2"/>
      <c r="IH130" s="2"/>
      <c r="II130" s="2"/>
      <c r="IJ130" s="2"/>
      <c r="IK130" s="2"/>
      <c r="IL130" s="2"/>
      <c r="IM130" s="2"/>
      <c r="IN130" s="2"/>
      <c r="IO130" s="2"/>
      <c r="IP130" s="2"/>
      <c r="IQ130" s="2"/>
      <c r="IR130" s="2"/>
      <c r="IS130" s="2"/>
      <c r="IT130" s="2"/>
      <c r="IU130" s="2"/>
      <c r="IV130" s="2"/>
      <c r="IW130" s="2"/>
    </row>
    <row r="131" spans="1:257" x14ac:dyDescent="0.3">
      <c r="A131" s="64" t="s">
        <v>356</v>
      </c>
      <c r="B131" s="126"/>
      <c r="C131" s="28"/>
      <c r="D131" s="28"/>
      <c r="E131" s="28"/>
      <c r="F131" s="28"/>
      <c r="G131" s="28"/>
      <c r="H131" s="28"/>
      <c r="I131" s="28"/>
      <c r="J131" s="28"/>
      <c r="K131" s="28"/>
      <c r="L131" s="28"/>
      <c r="M131" s="28"/>
      <c r="N131" s="550">
        <v>48.192771084337352</v>
      </c>
      <c r="O131" s="127" t="s">
        <v>358</v>
      </c>
      <c r="P131" s="128" t="s">
        <v>50</v>
      </c>
      <c r="Q131" s="173">
        <v>275</v>
      </c>
      <c r="R131" s="70" t="s">
        <v>358</v>
      </c>
      <c r="T131" s="167">
        <v>200</v>
      </c>
      <c r="U131" s="166"/>
      <c r="V131" s="166"/>
      <c r="W131" s="166"/>
      <c r="X131" s="166"/>
      <c r="Y131" s="166"/>
      <c r="Z131" s="166"/>
      <c r="AA131" s="166"/>
      <c r="AB131" s="166"/>
      <c r="AC131" s="166"/>
      <c r="AD131" s="166">
        <v>0</v>
      </c>
      <c r="AE131" s="684">
        <v>0</v>
      </c>
      <c r="AF131" s="166"/>
      <c r="AG131" s="684" t="s">
        <v>356</v>
      </c>
      <c r="AH131" s="166"/>
      <c r="AI131" s="166"/>
      <c r="AJ131" s="166"/>
      <c r="AK131" s="167">
        <v>0</v>
      </c>
      <c r="AL131" s="167">
        <v>1</v>
      </c>
      <c r="AM131" s="167">
        <v>2</v>
      </c>
      <c r="AN131" s="166"/>
      <c r="AO131" s="167">
        <v>0</v>
      </c>
      <c r="AP131" s="167">
        <v>1</v>
      </c>
      <c r="AQ131" s="167">
        <v>6</v>
      </c>
      <c r="AR131" s="167"/>
      <c r="AS131" s="167"/>
      <c r="AT131" s="167"/>
      <c r="AU131" s="166">
        <v>1</v>
      </c>
      <c r="AV131" s="166">
        <v>1</v>
      </c>
      <c r="AW131" s="166"/>
      <c r="AX131" s="166">
        <v>4</v>
      </c>
      <c r="AY131" s="166">
        <v>1</v>
      </c>
      <c r="AZ131" s="166"/>
      <c r="BA131" s="166">
        <v>2</v>
      </c>
      <c r="BB131" s="166">
        <v>1</v>
      </c>
      <c r="BC131" s="167"/>
      <c r="BD131" s="167"/>
      <c r="BE131" s="167"/>
      <c r="BF131" s="167"/>
      <c r="BG131" s="167"/>
      <c r="BH131" s="167"/>
      <c r="BI131" s="167"/>
      <c r="BJ131" s="167"/>
      <c r="BK131" s="167"/>
      <c r="BL131" s="167"/>
      <c r="BM131" s="167"/>
      <c r="BN131" s="167"/>
      <c r="BO131" s="167"/>
      <c r="BP131" s="167"/>
      <c r="BQ131" s="167"/>
      <c r="BR131" s="167"/>
      <c r="BS131" s="167"/>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c r="IF131" s="2"/>
      <c r="IG131" s="2"/>
      <c r="IH131" s="2"/>
      <c r="II131" s="2"/>
      <c r="IJ131" s="2"/>
      <c r="IK131" s="2"/>
      <c r="IL131" s="2"/>
      <c r="IM131" s="2"/>
      <c r="IN131" s="2"/>
      <c r="IO131" s="2"/>
      <c r="IP131" s="2"/>
      <c r="IQ131" s="2"/>
      <c r="IR131" s="2"/>
      <c r="IS131" s="2"/>
      <c r="IT131" s="2"/>
      <c r="IU131" s="2"/>
      <c r="IV131" s="2"/>
      <c r="IW131" s="2"/>
    </row>
    <row r="132" spans="1:257" ht="8.1" customHeight="1" x14ac:dyDescent="0.3">
      <c r="A132" s="48"/>
      <c r="B132" s="48"/>
      <c r="C132" s="37"/>
      <c r="D132" s="37"/>
      <c r="E132" s="37"/>
      <c r="F132" s="37"/>
      <c r="G132" s="37"/>
      <c r="H132" s="37"/>
      <c r="I132" s="37"/>
      <c r="J132" s="37"/>
      <c r="K132" s="37"/>
      <c r="L132" s="37"/>
      <c r="M132" s="37"/>
      <c r="N132" s="48"/>
      <c r="O132" s="125"/>
      <c r="P132" s="129"/>
      <c r="Q132" s="37"/>
      <c r="R132" s="130"/>
      <c r="T132" s="167"/>
      <c r="U132" s="166"/>
      <c r="V132" s="166"/>
      <c r="W132" s="166"/>
      <c r="X132" s="166"/>
      <c r="Y132" s="166"/>
      <c r="Z132" s="166"/>
      <c r="AA132" s="166"/>
      <c r="AB132" s="166"/>
      <c r="AC132" s="166"/>
      <c r="AD132" s="166"/>
      <c r="AE132" s="166"/>
      <c r="AF132" s="166"/>
      <c r="AG132" s="166"/>
      <c r="AH132" s="166"/>
      <c r="AI132" s="166"/>
      <c r="AJ132" s="166"/>
      <c r="AK132" s="166"/>
      <c r="AL132" s="166"/>
      <c r="AM132" s="166"/>
      <c r="AN132" s="166"/>
      <c r="AO132" s="166"/>
      <c r="AP132" s="166"/>
      <c r="AQ132" s="166"/>
      <c r="AR132" s="166"/>
      <c r="AS132" s="166"/>
      <c r="AT132" s="166"/>
      <c r="AU132" s="166"/>
      <c r="AV132" s="166"/>
      <c r="AW132" s="166"/>
      <c r="AX132" s="166"/>
      <c r="AY132" s="166"/>
      <c r="AZ132" s="166"/>
      <c r="BA132" s="166"/>
      <c r="BB132" s="166"/>
      <c r="BC132" s="167"/>
      <c r="BD132" s="167"/>
      <c r="BE132" s="167"/>
      <c r="BF132" s="167"/>
      <c r="BG132" s="167"/>
      <c r="BH132" s="167"/>
      <c r="BI132" s="167"/>
      <c r="BJ132" s="167"/>
      <c r="BK132" s="167"/>
      <c r="BL132" s="167"/>
      <c r="BM132" s="167"/>
      <c r="BN132" s="167"/>
      <c r="BO132" s="167"/>
      <c r="BP132" s="167"/>
      <c r="BQ132" s="167"/>
      <c r="BR132" s="167"/>
      <c r="BS132" s="167"/>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c r="IF132" s="2"/>
      <c r="IG132" s="2"/>
      <c r="IH132" s="2"/>
      <c r="II132" s="2"/>
      <c r="IJ132" s="2"/>
      <c r="IK132" s="2"/>
      <c r="IL132" s="2"/>
      <c r="IM132" s="2"/>
      <c r="IN132" s="2"/>
      <c r="IO132" s="2"/>
      <c r="IP132" s="2"/>
      <c r="IQ132" s="2"/>
      <c r="IR132" s="2"/>
      <c r="IS132" s="2"/>
      <c r="IT132" s="2"/>
      <c r="IU132" s="2"/>
      <c r="IV132" s="2"/>
      <c r="IW132" s="2"/>
    </row>
    <row r="133" spans="1:257" ht="8.1" customHeight="1" x14ac:dyDescent="0.3">
      <c r="A133" s="12"/>
      <c r="B133" s="12"/>
      <c r="C133" s="16"/>
      <c r="D133" s="16"/>
      <c r="E133" s="16"/>
      <c r="F133" s="16"/>
      <c r="G133" s="16"/>
      <c r="H133" s="16"/>
      <c r="I133" s="16"/>
      <c r="J133" s="16"/>
      <c r="K133" s="16"/>
      <c r="L133" s="16"/>
      <c r="M133" s="16"/>
      <c r="N133" s="12"/>
      <c r="O133" s="121"/>
      <c r="P133" s="53"/>
      <c r="Q133" s="16"/>
      <c r="R133" s="122"/>
      <c r="T133" s="167"/>
      <c r="U133" s="166"/>
      <c r="V133" s="166"/>
      <c r="W133" s="166"/>
      <c r="X133" s="166"/>
      <c r="Y133" s="166"/>
      <c r="Z133" s="166"/>
      <c r="AA133" s="166"/>
      <c r="AB133" s="166"/>
      <c r="AC133" s="166"/>
      <c r="AD133" s="166"/>
      <c r="AE133" s="166"/>
      <c r="AF133" s="166"/>
      <c r="AG133" s="166"/>
      <c r="AH133" s="166"/>
      <c r="AI133" s="166"/>
      <c r="AJ133" s="166"/>
      <c r="AK133" s="166"/>
      <c r="AL133" s="166"/>
      <c r="AM133" s="166"/>
      <c r="AN133" s="166"/>
      <c r="AO133" s="166"/>
      <c r="AP133" s="166"/>
      <c r="AQ133" s="166"/>
      <c r="AR133" s="166"/>
      <c r="AS133" s="166"/>
      <c r="AT133" s="166"/>
      <c r="AU133" s="166"/>
      <c r="AV133" s="166"/>
      <c r="AW133" s="166"/>
      <c r="AX133" s="166"/>
      <c r="AY133" s="166"/>
      <c r="AZ133" s="166"/>
      <c r="BA133" s="166"/>
      <c r="BB133" s="166"/>
      <c r="BC133" s="167"/>
      <c r="BD133" s="167"/>
      <c r="BE133" s="167"/>
      <c r="BF133" s="167"/>
      <c r="BG133" s="167"/>
      <c r="BH133" s="167"/>
      <c r="BI133" s="167"/>
      <c r="BJ133" s="167"/>
      <c r="BK133" s="167"/>
      <c r="BL133" s="167"/>
      <c r="BM133" s="167"/>
      <c r="BN133" s="167"/>
      <c r="BO133" s="167"/>
      <c r="BP133" s="167"/>
      <c r="BQ133" s="167"/>
      <c r="BR133" s="167"/>
      <c r="BS133" s="167"/>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c r="IF133" s="2"/>
      <c r="IG133" s="2"/>
      <c r="IH133" s="2"/>
      <c r="II133" s="2"/>
      <c r="IJ133" s="2"/>
      <c r="IK133" s="2"/>
      <c r="IL133" s="2"/>
      <c r="IM133" s="2"/>
      <c r="IN133" s="2"/>
      <c r="IO133" s="2"/>
      <c r="IP133" s="2"/>
      <c r="IQ133" s="2"/>
      <c r="IR133" s="2"/>
      <c r="IS133" s="2"/>
      <c r="IT133" s="2"/>
      <c r="IU133" s="2"/>
      <c r="IV133" s="2"/>
      <c r="IW133" s="2"/>
    </row>
    <row r="134" spans="1:257" x14ac:dyDescent="0.3">
      <c r="A134" s="26" t="s">
        <v>86</v>
      </c>
      <c r="B134" s="26"/>
      <c r="C134" s="41"/>
      <c r="D134" s="41"/>
      <c r="E134" s="41"/>
      <c r="F134" s="41"/>
      <c r="G134" s="41"/>
      <c r="H134" s="41"/>
      <c r="I134" s="41"/>
      <c r="J134" s="41"/>
      <c r="K134" s="41"/>
      <c r="L134" s="177">
        <v>1000.475</v>
      </c>
      <c r="M134" s="131" t="s">
        <v>158</v>
      </c>
      <c r="N134" s="26"/>
      <c r="O134" s="22"/>
      <c r="P134" s="57"/>
      <c r="R134" s="34"/>
      <c r="T134" s="167"/>
      <c r="U134" s="166"/>
      <c r="V134" s="166"/>
      <c r="W134" s="166"/>
      <c r="X134" s="166"/>
      <c r="Y134" s="166"/>
      <c r="Z134" s="166"/>
      <c r="AA134" s="166"/>
      <c r="AB134" s="166"/>
      <c r="AC134" s="166"/>
      <c r="AD134" s="166"/>
      <c r="AE134" s="166"/>
      <c r="AF134" s="166"/>
      <c r="AG134" s="166"/>
      <c r="AH134" s="166"/>
      <c r="AI134" s="166"/>
      <c r="AJ134" s="166"/>
      <c r="AK134" s="166"/>
      <c r="AL134" s="166"/>
      <c r="AM134" s="166"/>
      <c r="AN134" s="166"/>
      <c r="AO134" s="166"/>
      <c r="AP134" s="166"/>
      <c r="AQ134" s="166"/>
      <c r="AR134" s="166"/>
      <c r="AS134" s="166"/>
      <c r="AT134" s="166"/>
      <c r="AU134" s="166"/>
      <c r="AV134" s="166"/>
      <c r="AW134" s="166"/>
      <c r="AX134" s="166"/>
      <c r="AY134" s="166"/>
      <c r="AZ134" s="166"/>
      <c r="BA134" s="166"/>
      <c r="BB134" s="166"/>
      <c r="BC134" s="167"/>
      <c r="BD134" s="167"/>
      <c r="BE134" s="167"/>
      <c r="BF134" s="167"/>
      <c r="BG134" s="167"/>
      <c r="BH134" s="167"/>
      <c r="BI134" s="167"/>
      <c r="BJ134" s="167"/>
      <c r="BK134" s="167"/>
      <c r="BL134" s="167"/>
      <c r="BM134" s="167"/>
      <c r="BN134" s="167"/>
      <c r="BO134" s="167"/>
      <c r="BP134" s="167"/>
      <c r="BQ134" s="167"/>
      <c r="BR134" s="167"/>
      <c r="BS134" s="167"/>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c r="IJ134" s="2"/>
      <c r="IK134" s="2"/>
      <c r="IL134" s="2"/>
      <c r="IM134" s="2"/>
      <c r="IN134" s="2"/>
      <c r="IO134" s="2"/>
      <c r="IP134" s="2"/>
      <c r="IQ134" s="2"/>
      <c r="IR134" s="2"/>
      <c r="IS134" s="2"/>
      <c r="IT134" s="2"/>
      <c r="IU134" s="2"/>
      <c r="IV134" s="2"/>
      <c r="IW134" s="2"/>
    </row>
    <row r="135" spans="1:257" x14ac:dyDescent="0.3">
      <c r="A135" s="26" t="s">
        <v>87</v>
      </c>
      <c r="B135" s="26"/>
      <c r="C135" s="41"/>
      <c r="D135" s="41"/>
      <c r="E135" s="41"/>
      <c r="F135" s="41"/>
      <c r="G135" s="41"/>
      <c r="H135" s="41"/>
      <c r="I135" s="41"/>
      <c r="J135" s="41"/>
      <c r="K135" s="41"/>
      <c r="L135" s="132">
        <v>342493</v>
      </c>
      <c r="M135" s="131" t="s">
        <v>103</v>
      </c>
      <c r="N135" s="26"/>
      <c r="O135" s="22"/>
      <c r="Q135" s="2"/>
      <c r="R135" s="34"/>
      <c r="T135" s="167"/>
      <c r="U135" s="166"/>
      <c r="V135" s="166"/>
      <c r="W135" s="166"/>
      <c r="X135" s="166"/>
      <c r="Y135" s="166"/>
      <c r="Z135" s="166"/>
      <c r="AA135" s="166"/>
      <c r="AB135" s="166"/>
      <c r="AC135" s="166"/>
      <c r="AD135" s="166"/>
      <c r="AE135" s="166"/>
      <c r="AF135" s="166"/>
      <c r="AG135" s="166"/>
      <c r="AH135" s="166"/>
      <c r="AI135" s="166"/>
      <c r="AJ135" s="166"/>
      <c r="AK135" s="166"/>
      <c r="AL135" s="166"/>
      <c r="AM135" s="166"/>
      <c r="AN135" s="166"/>
      <c r="AO135" s="166"/>
      <c r="AP135" s="166"/>
      <c r="AQ135" s="166"/>
      <c r="AR135" s="166">
        <v>2</v>
      </c>
      <c r="AS135" s="671">
        <v>4.1666666666666664E-2</v>
      </c>
      <c r="AT135" s="166"/>
      <c r="AU135" s="166"/>
      <c r="AV135" s="166"/>
      <c r="AW135" s="166"/>
      <c r="AX135" s="166"/>
      <c r="AY135" s="166"/>
      <c r="AZ135" s="166"/>
      <c r="BA135" s="166"/>
      <c r="BB135" s="166"/>
      <c r="BC135" s="167"/>
      <c r="BD135" s="167"/>
      <c r="BE135" s="167"/>
      <c r="BF135" s="167"/>
      <c r="BG135" s="167"/>
      <c r="BH135" s="167"/>
      <c r="BI135" s="167"/>
      <c r="BJ135" s="167"/>
      <c r="BK135" s="167"/>
      <c r="BL135" s="167"/>
      <c r="BM135" s="167"/>
      <c r="BN135" s="167"/>
      <c r="BO135" s="167"/>
      <c r="BP135" s="167"/>
      <c r="BQ135" s="167"/>
      <c r="BR135" s="167"/>
      <c r="BS135" s="167"/>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c r="IJ135" s="2"/>
      <c r="IK135" s="2"/>
      <c r="IL135" s="2"/>
      <c r="IM135" s="2"/>
      <c r="IN135" s="2"/>
      <c r="IO135" s="2"/>
      <c r="IP135" s="2"/>
      <c r="IQ135" s="2"/>
      <c r="IR135" s="2"/>
      <c r="IS135" s="2"/>
      <c r="IT135" s="2"/>
      <c r="IU135" s="2"/>
      <c r="IV135" s="2"/>
      <c r="IW135" s="2"/>
    </row>
    <row r="136" spans="1:257" ht="15.6" x14ac:dyDescent="0.3">
      <c r="A136" s="64" t="s">
        <v>159</v>
      </c>
      <c r="B136" s="26"/>
      <c r="C136" s="41"/>
      <c r="D136" s="41"/>
      <c r="E136" s="41"/>
      <c r="F136" s="41"/>
      <c r="G136" s="41"/>
      <c r="H136" s="41"/>
      <c r="I136" s="41"/>
      <c r="J136" s="41"/>
      <c r="K136" s="41"/>
      <c r="L136" s="41"/>
      <c r="M136" s="131"/>
      <c r="N136" s="549">
        <v>0.29211545929405858</v>
      </c>
      <c r="O136" s="133" t="s">
        <v>22</v>
      </c>
      <c r="P136" s="134" t="s">
        <v>50</v>
      </c>
      <c r="Q136" s="95">
        <v>0.5</v>
      </c>
      <c r="R136" s="70" t="s">
        <v>22</v>
      </c>
      <c r="T136" s="674">
        <v>1.5</v>
      </c>
      <c r="U136" s="166"/>
      <c r="V136" s="166"/>
      <c r="W136" s="166"/>
      <c r="X136" s="166"/>
      <c r="Y136" s="166"/>
      <c r="Z136" s="166"/>
      <c r="AA136" s="166"/>
      <c r="AB136" s="166"/>
      <c r="AC136" s="166"/>
      <c r="AD136" s="166">
        <v>0</v>
      </c>
      <c r="AE136" s="685">
        <v>0</v>
      </c>
      <c r="AF136" s="166"/>
      <c r="AG136" s="166" t="s">
        <v>289</v>
      </c>
      <c r="AH136" s="166"/>
      <c r="AI136" s="166"/>
      <c r="AJ136" s="166"/>
      <c r="AK136" s="167">
        <v>0</v>
      </c>
      <c r="AL136" s="167">
        <v>1</v>
      </c>
      <c r="AM136" s="167">
        <v>2</v>
      </c>
      <c r="AN136" s="166"/>
      <c r="AO136" s="167">
        <v>0</v>
      </c>
      <c r="AP136" s="167">
        <v>2</v>
      </c>
      <c r="AQ136" s="167">
        <v>2</v>
      </c>
      <c r="AR136" s="167"/>
      <c r="AS136" s="167"/>
      <c r="AT136" s="167"/>
      <c r="AU136" s="166">
        <v>2</v>
      </c>
      <c r="AV136" s="166">
        <v>1</v>
      </c>
      <c r="AW136" s="166"/>
      <c r="AX136" s="166">
        <v>5</v>
      </c>
      <c r="AY136" s="166">
        <v>2</v>
      </c>
      <c r="AZ136" s="166"/>
      <c r="BA136" s="166">
        <v>2</v>
      </c>
      <c r="BB136" s="166">
        <v>1</v>
      </c>
      <c r="BC136" s="167"/>
      <c r="BD136" s="167"/>
      <c r="BE136" s="167"/>
      <c r="BF136" s="167"/>
      <c r="BG136" s="167"/>
      <c r="BH136" s="167"/>
      <c r="BI136" s="167"/>
      <c r="BJ136" s="167"/>
      <c r="BK136" s="167"/>
      <c r="BL136" s="167"/>
      <c r="BM136" s="167"/>
      <c r="BN136" s="167"/>
      <c r="BO136" s="167"/>
      <c r="BP136" s="167"/>
      <c r="BQ136" s="167"/>
      <c r="BR136" s="167"/>
      <c r="BS136" s="167"/>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c r="IK136" s="2"/>
      <c r="IL136" s="2"/>
      <c r="IM136" s="2"/>
      <c r="IN136" s="2"/>
      <c r="IO136" s="2"/>
      <c r="IP136" s="2"/>
      <c r="IQ136" s="2"/>
      <c r="IR136" s="2"/>
      <c r="IS136" s="2"/>
      <c r="IT136" s="2"/>
      <c r="IU136" s="2"/>
      <c r="IV136" s="2"/>
      <c r="IW136" s="2"/>
    </row>
    <row r="137" spans="1:257" ht="8.1" customHeight="1" x14ac:dyDescent="0.3">
      <c r="A137" s="48"/>
      <c r="B137" s="48"/>
      <c r="C137" s="37"/>
      <c r="D137" s="37"/>
      <c r="E137" s="37"/>
      <c r="F137" s="37"/>
      <c r="G137" s="37"/>
      <c r="H137" s="37"/>
      <c r="I137" s="37"/>
      <c r="J137" s="37"/>
      <c r="K137" s="37"/>
      <c r="L137" s="37"/>
      <c r="M137" s="37"/>
      <c r="N137" s="48"/>
      <c r="O137" s="125"/>
      <c r="P137" s="129"/>
      <c r="Q137" s="37"/>
      <c r="R137" s="130"/>
      <c r="T137" s="167"/>
      <c r="U137" s="166"/>
      <c r="V137" s="166"/>
      <c r="W137" s="166"/>
      <c r="X137" s="166"/>
      <c r="Y137" s="166"/>
      <c r="Z137" s="166"/>
      <c r="AA137" s="166"/>
      <c r="AB137" s="166"/>
      <c r="AC137" s="166"/>
      <c r="AD137" s="166"/>
      <c r="AE137" s="166"/>
      <c r="AF137" s="166"/>
      <c r="AG137" s="166"/>
      <c r="AH137" s="166"/>
      <c r="AI137" s="166"/>
      <c r="AJ137" s="166"/>
      <c r="AK137" s="166"/>
      <c r="AL137" s="166"/>
      <c r="AM137" s="166"/>
      <c r="AN137" s="166"/>
      <c r="AO137" s="166"/>
      <c r="AP137" s="166"/>
      <c r="AQ137" s="166"/>
      <c r="AR137" s="166"/>
      <c r="AS137" s="166"/>
      <c r="AT137" s="166"/>
      <c r="AU137" s="166"/>
      <c r="AV137" s="166"/>
      <c r="AW137" s="166"/>
      <c r="AX137" s="166"/>
      <c r="AY137" s="166"/>
      <c r="AZ137" s="166"/>
      <c r="BA137" s="166"/>
      <c r="BB137" s="166"/>
      <c r="BC137" s="167"/>
      <c r="BD137" s="167"/>
      <c r="BE137" s="167"/>
      <c r="BF137" s="167"/>
      <c r="BG137" s="167"/>
      <c r="BH137" s="167"/>
      <c r="BI137" s="167"/>
      <c r="BJ137" s="167"/>
      <c r="BK137" s="167"/>
      <c r="BL137" s="167"/>
      <c r="BM137" s="167"/>
      <c r="BN137" s="167"/>
      <c r="BO137" s="167"/>
      <c r="BP137" s="167"/>
      <c r="BQ137" s="167"/>
      <c r="BR137" s="167"/>
      <c r="BS137" s="167"/>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c r="II137" s="2"/>
      <c r="IJ137" s="2"/>
      <c r="IK137" s="2"/>
      <c r="IL137" s="2"/>
      <c r="IM137" s="2"/>
      <c r="IN137" s="2"/>
      <c r="IO137" s="2"/>
      <c r="IP137" s="2"/>
      <c r="IQ137" s="2"/>
      <c r="IR137" s="2"/>
      <c r="IS137" s="2"/>
      <c r="IT137" s="2"/>
      <c r="IU137" s="2"/>
      <c r="IV137" s="2"/>
      <c r="IW137" s="2"/>
    </row>
    <row r="138" spans="1:257" x14ac:dyDescent="0.3">
      <c r="T138" s="167"/>
      <c r="U138" s="166"/>
      <c r="V138" s="166"/>
      <c r="W138" s="166"/>
      <c r="X138" s="166"/>
      <c r="Y138" s="166"/>
      <c r="Z138" s="166"/>
      <c r="AA138" s="166"/>
      <c r="AB138" s="166"/>
      <c r="AC138" s="166"/>
      <c r="AD138" s="684">
        <v>6</v>
      </c>
      <c r="AE138" s="684">
        <v>10</v>
      </c>
      <c r="AF138" s="166"/>
      <c r="AG138" s="166"/>
      <c r="AH138" s="166"/>
      <c r="AI138" s="166"/>
      <c r="AJ138" s="166"/>
      <c r="AK138" s="166"/>
      <c r="AL138" s="166"/>
      <c r="AM138" s="166"/>
      <c r="AN138" s="166"/>
      <c r="AO138" s="166"/>
      <c r="AP138" s="166"/>
      <c r="AQ138" s="166"/>
      <c r="AR138" s="166"/>
      <c r="AS138" s="166"/>
      <c r="AT138" s="166"/>
      <c r="AU138" s="166"/>
      <c r="AV138" s="166"/>
      <c r="AW138" s="166"/>
      <c r="AX138" s="166"/>
      <c r="AY138" s="166"/>
      <c r="AZ138" s="166"/>
      <c r="BA138" s="166"/>
      <c r="BB138" s="166"/>
      <c r="BC138" s="167"/>
      <c r="BD138" s="167"/>
      <c r="BE138" s="167"/>
      <c r="BF138" s="167"/>
      <c r="BG138" s="167"/>
      <c r="BH138" s="167"/>
      <c r="BI138" s="167"/>
      <c r="BJ138" s="167"/>
      <c r="BK138" s="167"/>
      <c r="BL138" s="167"/>
      <c r="BM138" s="167"/>
      <c r="BN138" s="167"/>
      <c r="BO138" s="167"/>
      <c r="BP138" s="167"/>
      <c r="BQ138" s="167"/>
      <c r="BR138" s="167"/>
      <c r="BS138" s="167"/>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c r="IF138" s="2"/>
      <c r="IG138" s="2"/>
      <c r="IH138" s="2"/>
      <c r="II138" s="2"/>
      <c r="IJ138" s="2"/>
      <c r="IK138" s="2"/>
      <c r="IL138" s="2"/>
      <c r="IM138" s="2"/>
      <c r="IN138" s="2"/>
      <c r="IO138" s="2"/>
      <c r="IP138" s="2"/>
      <c r="IQ138" s="2"/>
      <c r="IR138" s="2"/>
      <c r="IS138" s="2"/>
      <c r="IT138" s="2"/>
      <c r="IU138" s="2"/>
      <c r="IV138" s="2"/>
      <c r="IW138" s="2"/>
    </row>
    <row r="139" spans="1:257" x14ac:dyDescent="0.3">
      <c r="T139" s="167"/>
      <c r="U139" s="166"/>
      <c r="V139" s="166"/>
      <c r="W139" s="166"/>
      <c r="X139" s="166"/>
      <c r="Y139" s="166"/>
      <c r="Z139" s="166"/>
      <c r="AA139" s="166"/>
      <c r="AB139" s="166"/>
      <c r="AC139" s="166" t="s">
        <v>249</v>
      </c>
      <c r="AD139" s="166">
        <v>22</v>
      </c>
      <c r="AE139" s="166">
        <v>36</v>
      </c>
      <c r="AF139" s="166"/>
      <c r="AG139" s="166"/>
      <c r="AH139" s="166"/>
      <c r="AI139" s="166"/>
      <c r="AJ139" s="166"/>
      <c r="AK139" s="166">
        <v>0</v>
      </c>
      <c r="AL139" s="166">
        <v>11</v>
      </c>
      <c r="AM139" s="166">
        <v>22</v>
      </c>
      <c r="AN139" s="166"/>
      <c r="AO139" s="166">
        <v>0</v>
      </c>
      <c r="AP139" s="166">
        <v>17</v>
      </c>
      <c r="AQ139" s="166">
        <v>48</v>
      </c>
      <c r="AR139" s="166">
        <v>48</v>
      </c>
      <c r="AS139" s="166"/>
      <c r="AT139" s="166"/>
      <c r="AU139" s="166">
        <v>30</v>
      </c>
      <c r="AV139" s="166">
        <v>15</v>
      </c>
      <c r="AW139" s="166"/>
      <c r="AX139" s="166">
        <v>51</v>
      </c>
      <c r="AY139" s="166">
        <v>18</v>
      </c>
      <c r="AZ139" s="166"/>
      <c r="BA139" s="166">
        <v>22</v>
      </c>
      <c r="BB139" s="166">
        <v>11</v>
      </c>
      <c r="BC139" s="167"/>
      <c r="BD139" s="167"/>
      <c r="BE139" s="167"/>
      <c r="BF139" s="167"/>
      <c r="BG139" s="167"/>
      <c r="BH139" s="167"/>
      <c r="BI139" s="167"/>
      <c r="BJ139" s="167"/>
      <c r="BK139" s="167"/>
      <c r="BL139" s="167"/>
      <c r="BM139" s="167"/>
      <c r="BN139" s="167"/>
      <c r="BO139" s="167"/>
      <c r="BP139" s="167"/>
      <c r="BQ139" s="167"/>
      <c r="BR139" s="167"/>
      <c r="BS139" s="167"/>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c r="II139" s="2"/>
      <c r="IJ139" s="2"/>
      <c r="IK139" s="2"/>
      <c r="IL139" s="2"/>
      <c r="IM139" s="2"/>
      <c r="IN139" s="2"/>
      <c r="IO139" s="2"/>
      <c r="IP139" s="2"/>
      <c r="IQ139" s="2"/>
      <c r="IR139" s="2"/>
      <c r="IS139" s="2"/>
      <c r="IT139" s="2"/>
      <c r="IU139" s="2"/>
      <c r="IV139" s="2"/>
      <c r="IW139" s="2"/>
    </row>
    <row r="140" spans="1:257" ht="27.9" customHeight="1" x14ac:dyDescent="0.5">
      <c r="A140" s="441" t="s">
        <v>92</v>
      </c>
      <c r="B140" s="558">
        <v>6</v>
      </c>
      <c r="C140" s="561" t="s">
        <v>352</v>
      </c>
      <c r="D140" s="135"/>
      <c r="E140" s="135"/>
      <c r="F140" s="135"/>
      <c r="G140" s="135"/>
      <c r="H140" s="135"/>
      <c r="I140" s="135"/>
      <c r="J140" s="135"/>
      <c r="K140" s="135"/>
      <c r="L140" s="135"/>
      <c r="M140" s="136"/>
      <c r="N140" s="136"/>
      <c r="O140" s="136"/>
      <c r="P140" s="564" t="s">
        <v>160</v>
      </c>
      <c r="Q140" s="565">
        <v>6</v>
      </c>
      <c r="R140" s="566" t="s">
        <v>350</v>
      </c>
      <c r="T140" s="167"/>
      <c r="U140" s="166"/>
      <c r="V140" s="166"/>
      <c r="W140" s="166"/>
      <c r="X140" s="166"/>
      <c r="Y140" s="166"/>
      <c r="Z140" s="166"/>
      <c r="AA140" s="166"/>
      <c r="AB140" s="166"/>
      <c r="AC140" s="166"/>
      <c r="AD140" s="166"/>
      <c r="AE140" s="166"/>
      <c r="AF140" s="166"/>
      <c r="AG140" s="166"/>
      <c r="AH140" s="166"/>
      <c r="AI140" s="166"/>
      <c r="AJ140" s="166"/>
      <c r="AK140" s="671"/>
      <c r="AL140" s="671"/>
      <c r="AM140" s="671">
        <v>0.5</v>
      </c>
      <c r="AN140" s="166"/>
      <c r="AO140" s="671"/>
      <c r="AP140" s="671"/>
      <c r="AQ140" s="671">
        <v>0.35416666666666669</v>
      </c>
      <c r="AR140" s="671"/>
      <c r="AS140" s="671"/>
      <c r="AT140" s="671"/>
      <c r="AU140" s="166"/>
      <c r="AV140" s="166"/>
      <c r="AW140" s="166"/>
      <c r="AX140" s="166"/>
      <c r="AY140" s="166"/>
      <c r="AZ140" s="166"/>
      <c r="BA140" s="166"/>
      <c r="BB140" s="166"/>
      <c r="BC140" s="167"/>
      <c r="BD140" s="167"/>
      <c r="BE140" s="167"/>
      <c r="BF140" s="167"/>
      <c r="BG140" s="167"/>
      <c r="BH140" s="167"/>
      <c r="BI140" s="167"/>
      <c r="BJ140" s="167"/>
      <c r="BK140" s="167"/>
      <c r="BL140" s="167"/>
      <c r="BM140" s="167"/>
      <c r="BN140" s="167"/>
      <c r="BO140" s="167"/>
      <c r="BP140" s="167"/>
      <c r="BQ140" s="167"/>
      <c r="BR140" s="167"/>
      <c r="BS140" s="167"/>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c r="IJ140" s="2"/>
      <c r="IK140" s="2"/>
      <c r="IL140" s="2"/>
      <c r="IM140" s="2"/>
      <c r="IN140" s="2"/>
      <c r="IO140" s="2"/>
      <c r="IP140" s="2"/>
      <c r="IQ140" s="2"/>
      <c r="IR140" s="2"/>
      <c r="IS140" s="2"/>
      <c r="IT140" s="2"/>
      <c r="IU140" s="2"/>
      <c r="IV140" s="2"/>
      <c r="IW140" s="2"/>
    </row>
    <row r="141" spans="1:257" ht="27.9" customHeight="1" x14ac:dyDescent="0.5">
      <c r="A141" s="441"/>
      <c r="B141" s="441"/>
      <c r="C141" s="443" t="s">
        <v>345</v>
      </c>
      <c r="D141" s="444"/>
      <c r="E141" s="444"/>
      <c r="F141" s="444"/>
      <c r="G141" s="444"/>
      <c r="H141" s="444"/>
      <c r="I141" s="444"/>
      <c r="J141" s="444"/>
      <c r="K141" s="444"/>
      <c r="L141" s="444"/>
      <c r="M141" s="445"/>
      <c r="N141" s="445"/>
      <c r="O141" s="445"/>
      <c r="P141" s="445"/>
      <c r="Q141" s="446"/>
      <c r="R141" s="447"/>
      <c r="T141" s="167"/>
      <c r="U141" s="166"/>
      <c r="V141" s="166"/>
      <c r="W141" s="166"/>
      <c r="X141" s="166"/>
      <c r="Y141" s="166"/>
      <c r="Z141" s="166"/>
      <c r="AA141" s="166"/>
      <c r="AB141" s="166"/>
      <c r="AC141" s="166"/>
      <c r="AD141" s="166" t="s">
        <v>345</v>
      </c>
      <c r="AE141" s="166"/>
      <c r="AF141" s="166"/>
      <c r="AG141" s="166"/>
      <c r="AH141" s="166"/>
      <c r="AI141" s="166">
        <v>0</v>
      </c>
      <c r="AJ141" s="166">
        <v>7</v>
      </c>
      <c r="AK141" s="166"/>
      <c r="AL141" s="166"/>
      <c r="AM141" s="166"/>
      <c r="AN141" s="166"/>
      <c r="AO141" s="166"/>
      <c r="AP141" s="166"/>
      <c r="AQ141" s="166"/>
      <c r="AR141" s="166"/>
      <c r="AS141" s="166"/>
      <c r="AT141" s="166"/>
      <c r="AU141" s="166"/>
      <c r="AV141" s="166"/>
      <c r="AW141" s="166"/>
      <c r="AX141" s="166"/>
      <c r="AY141" s="166"/>
      <c r="AZ141" s="166"/>
      <c r="BA141" s="166"/>
      <c r="BB141" s="166"/>
      <c r="BC141" s="167"/>
      <c r="BD141" s="167"/>
      <c r="BE141" s="167"/>
      <c r="BF141" s="167"/>
      <c r="BG141" s="167"/>
      <c r="BH141" s="167"/>
      <c r="BI141" s="167"/>
      <c r="BJ141" s="167"/>
      <c r="BK141" s="167"/>
      <c r="BL141" s="167"/>
      <c r="BM141" s="167"/>
      <c r="BN141" s="167"/>
      <c r="BO141" s="167"/>
      <c r="BP141" s="167"/>
      <c r="BQ141" s="167"/>
      <c r="BR141" s="167"/>
      <c r="BS141" s="167"/>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c r="IJ141" s="2"/>
      <c r="IK141" s="2"/>
      <c r="IL141" s="2"/>
      <c r="IM141" s="2"/>
      <c r="IN141" s="2"/>
      <c r="IO141" s="2"/>
      <c r="IP141" s="2"/>
      <c r="IQ141" s="2"/>
      <c r="IR141" s="2"/>
      <c r="IS141" s="2"/>
      <c r="IT141" s="2"/>
      <c r="IU141" s="2"/>
      <c r="IV141" s="2"/>
      <c r="IW141" s="2"/>
    </row>
    <row r="142" spans="1:257" ht="15" customHeight="1" x14ac:dyDescent="0.5">
      <c r="A142" s="441"/>
      <c r="B142" s="441"/>
      <c r="C142" s="441"/>
      <c r="D142" s="441"/>
      <c r="E142" s="441"/>
      <c r="F142" s="441"/>
      <c r="G142" s="441"/>
      <c r="H142" s="441"/>
      <c r="I142" s="441"/>
      <c r="J142" s="441"/>
      <c r="K142" s="441"/>
      <c r="L142" s="441"/>
      <c r="M142" s="441"/>
      <c r="N142" s="441"/>
      <c r="O142" s="441"/>
      <c r="P142" s="441"/>
      <c r="Q142" s="441"/>
      <c r="R142" s="441"/>
      <c r="S142" s="441"/>
      <c r="T142" s="686"/>
      <c r="U142" s="166"/>
      <c r="V142" s="166"/>
      <c r="W142" s="166"/>
      <c r="X142" s="166"/>
      <c r="Y142" s="166"/>
      <c r="Z142" s="166"/>
      <c r="AA142" s="166"/>
      <c r="AB142" s="166"/>
      <c r="AC142" s="166"/>
      <c r="AD142" s="166" t="s">
        <v>161</v>
      </c>
      <c r="AE142" s="166"/>
      <c r="AF142" s="166"/>
      <c r="AG142" s="166"/>
      <c r="AH142" s="166"/>
      <c r="AI142" s="166">
        <v>8</v>
      </c>
      <c r="AJ142" s="166">
        <v>14</v>
      </c>
      <c r="AK142" s="166"/>
      <c r="AL142" s="166"/>
      <c r="AM142" s="166"/>
      <c r="AN142" s="166"/>
      <c r="AO142" s="166"/>
      <c r="AP142" s="166"/>
      <c r="AQ142" s="166"/>
      <c r="AR142" s="166"/>
      <c r="AS142" s="166"/>
      <c r="AT142" s="166"/>
      <c r="AU142" s="166"/>
      <c r="AV142" s="166"/>
      <c r="AW142" s="166"/>
      <c r="AX142" s="166"/>
      <c r="AY142" s="166"/>
      <c r="AZ142" s="166"/>
      <c r="BA142" s="166"/>
      <c r="BB142" s="166"/>
      <c r="BC142" s="167"/>
      <c r="BD142" s="167"/>
      <c r="BE142" s="167"/>
      <c r="BF142" s="167"/>
      <c r="BG142" s="167"/>
      <c r="BH142" s="167"/>
      <c r="BI142" s="167"/>
      <c r="BJ142" s="167"/>
      <c r="BK142" s="167"/>
      <c r="BL142" s="167"/>
      <c r="BM142" s="167"/>
      <c r="BN142" s="167"/>
      <c r="BO142" s="167"/>
      <c r="BP142" s="167"/>
      <c r="BQ142" s="167"/>
      <c r="BR142" s="167"/>
      <c r="BS142" s="167"/>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c r="IK142" s="2"/>
      <c r="IL142" s="2"/>
      <c r="IM142" s="2"/>
      <c r="IN142" s="2"/>
      <c r="IO142" s="2"/>
      <c r="IP142" s="2"/>
      <c r="IQ142" s="2"/>
      <c r="IR142" s="2"/>
      <c r="IS142" s="2"/>
      <c r="IT142" s="2"/>
      <c r="IU142" s="2"/>
      <c r="IV142" s="2"/>
      <c r="IW142" s="2"/>
    </row>
    <row r="143" spans="1:257" ht="27.9" customHeight="1" x14ac:dyDescent="0.35">
      <c r="B143" s="440">
        <v>10</v>
      </c>
      <c r="C143" s="562" t="s">
        <v>353</v>
      </c>
      <c r="D143" s="137"/>
      <c r="E143" s="137"/>
      <c r="F143" s="137"/>
      <c r="G143" s="137"/>
      <c r="H143" s="137"/>
      <c r="I143" s="137"/>
      <c r="J143" s="137"/>
      <c r="K143" s="137"/>
      <c r="L143" s="137"/>
      <c r="M143" s="137"/>
      <c r="N143" s="137"/>
      <c r="O143" s="137"/>
      <c r="P143" s="138" t="s">
        <v>160</v>
      </c>
      <c r="Q143" s="563">
        <v>10</v>
      </c>
      <c r="R143" s="388" t="s">
        <v>351</v>
      </c>
      <c r="T143" s="167"/>
      <c r="U143" s="166"/>
      <c r="V143" s="166"/>
      <c r="W143" s="166"/>
      <c r="X143" s="166"/>
      <c r="Y143" s="166"/>
      <c r="Z143" s="166"/>
      <c r="AA143" s="166"/>
      <c r="AB143" s="166"/>
      <c r="AC143" s="166"/>
      <c r="AD143" s="166" t="s">
        <v>161</v>
      </c>
      <c r="AE143" s="166"/>
      <c r="AF143" s="166"/>
      <c r="AG143" s="166"/>
      <c r="AH143" s="166"/>
      <c r="AI143" s="166">
        <v>15</v>
      </c>
      <c r="AJ143" s="166">
        <v>22</v>
      </c>
      <c r="AK143" s="166"/>
      <c r="AL143" s="166"/>
      <c r="AM143" s="166"/>
      <c r="AN143" s="166"/>
      <c r="AO143" s="166"/>
      <c r="AP143" s="166"/>
      <c r="AQ143" s="166"/>
      <c r="AR143" s="166"/>
      <c r="AS143" s="166"/>
      <c r="AT143" s="166"/>
      <c r="AU143" s="166"/>
      <c r="AV143" s="166"/>
      <c r="AW143" s="166"/>
      <c r="AX143" s="166"/>
      <c r="AY143" s="166"/>
      <c r="AZ143" s="166"/>
      <c r="BA143" s="166"/>
      <c r="BB143" s="166"/>
      <c r="BC143" s="167"/>
      <c r="BD143" s="167"/>
      <c r="BE143" s="167"/>
      <c r="BF143" s="167"/>
      <c r="BG143" s="167"/>
      <c r="BH143" s="167"/>
      <c r="BI143" s="167"/>
      <c r="BJ143" s="167"/>
      <c r="BK143" s="167"/>
      <c r="BL143" s="167"/>
      <c r="BM143" s="167"/>
      <c r="BN143" s="167"/>
      <c r="BO143" s="167"/>
      <c r="BP143" s="167"/>
      <c r="BQ143" s="167"/>
      <c r="BR143" s="167"/>
      <c r="BS143" s="167"/>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c r="IF143" s="2"/>
      <c r="IG143" s="2"/>
      <c r="IH143" s="2"/>
      <c r="II143" s="2"/>
      <c r="IJ143" s="2"/>
      <c r="IK143" s="2"/>
      <c r="IL143" s="2"/>
      <c r="IM143" s="2"/>
      <c r="IN143" s="2"/>
      <c r="IO143" s="2"/>
      <c r="IP143" s="2"/>
      <c r="IQ143" s="2"/>
      <c r="IR143" s="2"/>
      <c r="IS143" s="2"/>
      <c r="IT143" s="2"/>
      <c r="IU143" s="2"/>
      <c r="IV143" s="2"/>
      <c r="IW143" s="2"/>
    </row>
    <row r="144" spans="1:257" ht="27.9" customHeight="1" x14ac:dyDescent="0.35">
      <c r="C144" s="443" t="s">
        <v>348</v>
      </c>
      <c r="D144" s="448"/>
      <c r="E144" s="448"/>
      <c r="F144" s="448"/>
      <c r="G144" s="448"/>
      <c r="H144" s="448"/>
      <c r="I144" s="448"/>
      <c r="J144" s="448"/>
      <c r="K144" s="448"/>
      <c r="L144" s="448"/>
      <c r="M144" s="448"/>
      <c r="N144" s="448"/>
      <c r="O144" s="448"/>
      <c r="P144" s="448"/>
      <c r="Q144" s="449"/>
      <c r="R144" s="449"/>
      <c r="T144" s="167"/>
      <c r="U144" s="166"/>
      <c r="V144" s="166"/>
      <c r="W144" s="166"/>
      <c r="X144" s="166"/>
      <c r="Y144" s="166"/>
      <c r="Z144" s="166"/>
      <c r="AA144" s="166"/>
      <c r="AB144" s="166"/>
      <c r="AC144" s="166"/>
      <c r="AD144" s="166"/>
      <c r="AE144" s="166"/>
      <c r="AF144" s="166"/>
      <c r="AG144" s="166"/>
      <c r="AH144" s="166"/>
      <c r="AI144" s="166"/>
      <c r="AJ144" s="166"/>
      <c r="AK144" s="166"/>
      <c r="AL144" s="166"/>
      <c r="AM144" s="166"/>
      <c r="AN144" s="166"/>
      <c r="AO144" s="166"/>
      <c r="AP144" s="166"/>
      <c r="AQ144" s="166"/>
      <c r="AR144" s="166"/>
      <c r="AS144" s="166"/>
      <c r="AT144" s="166"/>
      <c r="AU144" s="166"/>
      <c r="AV144" s="166"/>
      <c r="AW144" s="166"/>
      <c r="AX144" s="166"/>
      <c r="AY144" s="166"/>
      <c r="AZ144" s="166"/>
      <c r="BA144" s="166"/>
      <c r="BB144" s="166"/>
      <c r="BC144" s="166"/>
      <c r="BD144" s="167"/>
      <c r="BE144" s="167"/>
      <c r="BF144" s="167"/>
      <c r="BG144" s="167"/>
      <c r="BH144" s="167"/>
      <c r="BI144" s="167"/>
      <c r="BJ144" s="167"/>
      <c r="BK144" s="167"/>
      <c r="BL144" s="167"/>
      <c r="BM144" s="167"/>
      <c r="BN144" s="167"/>
      <c r="BO144" s="167"/>
      <c r="BP144" s="167"/>
      <c r="BQ144" s="167"/>
      <c r="BR144" s="167"/>
      <c r="BS144" s="167"/>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c r="IJ144" s="2"/>
      <c r="IK144" s="2"/>
      <c r="IL144" s="2"/>
      <c r="IM144" s="2"/>
      <c r="IN144" s="2"/>
      <c r="IO144" s="2"/>
      <c r="IP144" s="2"/>
      <c r="IQ144" s="2"/>
      <c r="IR144" s="2"/>
      <c r="IS144" s="2"/>
      <c r="IT144" s="2"/>
      <c r="IU144" s="2"/>
      <c r="IV144" s="2"/>
      <c r="IW144" s="2"/>
    </row>
    <row r="145" spans="2:257" ht="15" customHeight="1" x14ac:dyDescent="0.3">
      <c r="T145" s="167"/>
      <c r="U145" s="166"/>
      <c r="V145" s="166"/>
      <c r="W145" s="166"/>
      <c r="X145" s="166"/>
      <c r="Y145" s="166"/>
      <c r="Z145" s="166"/>
      <c r="AA145" s="166"/>
      <c r="AB145" s="166"/>
      <c r="AC145" s="166"/>
      <c r="AD145" s="166" t="s">
        <v>348</v>
      </c>
      <c r="AE145" s="166"/>
      <c r="AF145" s="166"/>
      <c r="AG145" s="166"/>
      <c r="AH145" s="166"/>
      <c r="AI145" s="166">
        <v>0</v>
      </c>
      <c r="AJ145" s="166">
        <v>16</v>
      </c>
      <c r="AK145" s="166"/>
      <c r="AL145" s="166"/>
      <c r="AM145" s="166"/>
      <c r="AN145" s="166"/>
      <c r="AO145" s="166"/>
      <c r="AP145" s="166"/>
      <c r="AQ145" s="166"/>
      <c r="AR145" s="166"/>
      <c r="AS145" s="166"/>
      <c r="AT145" s="166"/>
      <c r="AU145" s="166"/>
      <c r="AV145" s="166"/>
      <c r="AW145" s="166"/>
      <c r="AX145" s="166"/>
      <c r="AY145" s="166"/>
      <c r="AZ145" s="166"/>
      <c r="BA145" s="166"/>
      <c r="BB145" s="166"/>
      <c r="BC145" s="167"/>
      <c r="BD145" s="167"/>
      <c r="BE145" s="167"/>
      <c r="BF145" s="167"/>
      <c r="BG145" s="167"/>
      <c r="BH145" s="167"/>
      <c r="BI145" s="167"/>
      <c r="BJ145" s="167"/>
      <c r="BK145" s="167"/>
      <c r="BL145" s="167"/>
      <c r="BM145" s="167"/>
      <c r="BN145" s="167"/>
      <c r="BO145" s="167"/>
      <c r="BP145" s="167"/>
      <c r="BQ145" s="167"/>
      <c r="BR145" s="167"/>
      <c r="BS145" s="167"/>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c r="IJ145" s="2"/>
      <c r="IK145" s="2"/>
      <c r="IL145" s="2"/>
      <c r="IM145" s="2"/>
      <c r="IN145" s="2"/>
      <c r="IO145" s="2"/>
      <c r="IP145" s="2"/>
      <c r="IQ145" s="2"/>
      <c r="IR145" s="2"/>
      <c r="IS145" s="2"/>
      <c r="IT145" s="2"/>
      <c r="IU145" s="2"/>
      <c r="IV145" s="2"/>
      <c r="IW145" s="2"/>
    </row>
    <row r="146" spans="2:257" ht="15" customHeight="1" x14ac:dyDescent="0.35">
      <c r="B146" s="442"/>
      <c r="C146" s="442"/>
      <c r="D146" s="442"/>
      <c r="E146" s="442"/>
      <c r="F146" s="442"/>
      <c r="G146" s="442"/>
      <c r="H146" s="442"/>
      <c r="I146" s="442"/>
      <c r="J146" s="442"/>
      <c r="K146" s="442"/>
      <c r="L146" s="442"/>
      <c r="M146" s="442"/>
      <c r="N146" s="442"/>
      <c r="O146" s="442"/>
      <c r="P146" s="442"/>
      <c r="Q146" s="442"/>
      <c r="R146" s="442"/>
      <c r="T146" s="167"/>
      <c r="U146" s="166"/>
      <c r="V146" s="166"/>
      <c r="W146" s="166"/>
      <c r="X146" s="166"/>
      <c r="Y146" s="166"/>
      <c r="Z146" s="166"/>
      <c r="AA146" s="166"/>
      <c r="AB146" s="166"/>
      <c r="AC146" s="166"/>
      <c r="AD146" s="166" t="s">
        <v>162</v>
      </c>
      <c r="AE146" s="166"/>
      <c r="AF146" s="166"/>
      <c r="AG146" s="166"/>
      <c r="AH146" s="166"/>
      <c r="AI146" s="166">
        <v>17</v>
      </c>
      <c r="AJ146" s="166">
        <v>26</v>
      </c>
      <c r="AK146" s="166"/>
      <c r="AL146" s="166"/>
      <c r="AM146" s="166"/>
      <c r="AN146" s="166"/>
      <c r="AO146" s="166"/>
      <c r="AP146" s="166"/>
      <c r="AQ146" s="166"/>
      <c r="AR146" s="166"/>
      <c r="AS146" s="166"/>
      <c r="AT146" s="166"/>
      <c r="AU146" s="166"/>
      <c r="AV146" s="166"/>
      <c r="AW146" s="166"/>
      <c r="AX146" s="166"/>
      <c r="AY146" s="166"/>
      <c r="AZ146" s="166"/>
      <c r="BA146" s="166"/>
      <c r="BB146" s="166"/>
      <c r="BC146" s="167"/>
      <c r="BD146" s="167"/>
      <c r="BE146" s="167"/>
      <c r="BF146" s="167"/>
      <c r="BG146" s="167"/>
      <c r="BH146" s="167"/>
      <c r="BI146" s="167"/>
      <c r="BJ146" s="167"/>
      <c r="BK146" s="167"/>
      <c r="BL146" s="167"/>
      <c r="BM146" s="167"/>
      <c r="BN146" s="167"/>
      <c r="BO146" s="167"/>
      <c r="BP146" s="167"/>
      <c r="BQ146" s="167"/>
      <c r="BR146" s="167"/>
      <c r="BS146" s="167"/>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c r="IJ146" s="2"/>
      <c r="IK146" s="2"/>
      <c r="IL146" s="2"/>
      <c r="IM146" s="2"/>
      <c r="IN146" s="2"/>
      <c r="IO146" s="2"/>
      <c r="IP146" s="2"/>
      <c r="IQ146" s="2"/>
      <c r="IR146" s="2"/>
      <c r="IS146" s="2"/>
      <c r="IT146" s="2"/>
      <c r="IU146" s="2"/>
      <c r="IV146" s="2"/>
      <c r="IW146" s="2"/>
    </row>
    <row r="147" spans="2:257" x14ac:dyDescent="0.3">
      <c r="T147" s="167"/>
      <c r="U147" s="167"/>
      <c r="V147" s="167"/>
      <c r="W147" s="167"/>
      <c r="X147" s="166"/>
      <c r="Y147" s="166"/>
      <c r="Z147" s="166"/>
      <c r="AA147" s="166"/>
      <c r="AB147" s="166"/>
      <c r="AC147" s="166"/>
      <c r="AD147" s="166" t="s">
        <v>163</v>
      </c>
      <c r="AE147" s="166"/>
      <c r="AF147" s="166"/>
      <c r="AG147" s="166"/>
      <c r="AH147" s="166"/>
      <c r="AI147" s="166">
        <v>27</v>
      </c>
      <c r="AJ147" s="166">
        <v>48</v>
      </c>
      <c r="AK147" s="166"/>
      <c r="AL147" s="166"/>
      <c r="AM147" s="166"/>
      <c r="AN147" s="166"/>
      <c r="AO147" s="166"/>
      <c r="AP147" s="166"/>
      <c r="AQ147" s="166"/>
      <c r="AR147" s="166"/>
      <c r="AS147" s="166"/>
      <c r="AT147" s="166"/>
      <c r="AU147" s="166"/>
      <c r="AV147" s="166"/>
      <c r="AW147" s="166"/>
      <c r="AX147" s="166"/>
      <c r="AY147" s="166"/>
      <c r="AZ147" s="166"/>
      <c r="BA147" s="166"/>
      <c r="BB147" s="166"/>
      <c r="BC147" s="166"/>
      <c r="BD147" s="166"/>
      <c r="BE147" s="166"/>
      <c r="BF147" s="166"/>
      <c r="BG147" s="166"/>
      <c r="BH147" s="166"/>
      <c r="BI147" s="166"/>
      <c r="BJ147" s="166"/>
      <c r="BK147" s="166"/>
      <c r="BL147" s="166"/>
      <c r="BM147" s="166"/>
      <c r="BN147" s="166"/>
      <c r="BO147" s="166"/>
      <c r="BP147" s="166"/>
      <c r="BQ147" s="166"/>
      <c r="BR147" s="166"/>
      <c r="BS147" s="166"/>
    </row>
    <row r="148" spans="2:257" x14ac:dyDescent="0.3">
      <c r="T148" s="167"/>
      <c r="U148" s="167"/>
      <c r="V148" s="167"/>
      <c r="W148" s="167"/>
      <c r="X148" s="166"/>
      <c r="Y148" s="166"/>
      <c r="Z148" s="166"/>
      <c r="AA148" s="166"/>
      <c r="AB148" s="166"/>
      <c r="AC148" s="166"/>
      <c r="AD148" s="166"/>
      <c r="AE148" s="166"/>
      <c r="AF148" s="166"/>
      <c r="AG148" s="166"/>
      <c r="AH148" s="166"/>
      <c r="AI148" s="166"/>
      <c r="AJ148" s="166"/>
      <c r="AK148" s="166"/>
      <c r="AL148" s="166"/>
      <c r="AM148" s="166"/>
      <c r="AN148" s="166"/>
      <c r="AO148" s="166"/>
      <c r="AP148" s="166"/>
      <c r="AQ148" s="166"/>
      <c r="AR148" s="166"/>
      <c r="AS148" s="166"/>
      <c r="AT148" s="166"/>
      <c r="AU148" s="166"/>
      <c r="AV148" s="166"/>
      <c r="AW148" s="166"/>
      <c r="AX148" s="166"/>
      <c r="AY148" s="166"/>
      <c r="AZ148" s="166"/>
      <c r="BA148" s="166"/>
      <c r="BB148" s="166"/>
      <c r="BC148" s="166"/>
      <c r="BD148" s="166"/>
      <c r="BE148" s="166"/>
      <c r="BF148" s="166"/>
      <c r="BG148" s="166"/>
      <c r="BH148" s="166"/>
      <c r="BI148" s="166"/>
      <c r="BJ148" s="166"/>
      <c r="BK148" s="166"/>
      <c r="BL148" s="166"/>
      <c r="BM148" s="166"/>
      <c r="BN148" s="166"/>
      <c r="BO148" s="166"/>
      <c r="BP148" s="166"/>
      <c r="BQ148" s="166"/>
      <c r="BR148" s="166"/>
      <c r="BS148" s="166"/>
    </row>
    <row r="149" spans="2:257" x14ac:dyDescent="0.3">
      <c r="T149" s="167"/>
      <c r="U149" s="167"/>
      <c r="V149" s="167"/>
      <c r="W149" s="167"/>
      <c r="X149" s="166"/>
      <c r="Y149" s="166"/>
      <c r="Z149" s="166"/>
      <c r="AA149" s="166"/>
      <c r="AB149" s="166"/>
      <c r="AC149" s="166"/>
      <c r="AD149" s="166"/>
      <c r="AE149" s="166"/>
      <c r="AF149" s="166"/>
      <c r="AG149" s="166"/>
      <c r="AH149" s="166"/>
      <c r="AI149" s="166"/>
      <c r="AJ149" s="166"/>
      <c r="AK149" s="166"/>
      <c r="AL149" s="166"/>
      <c r="AM149" s="166"/>
      <c r="AN149" s="166"/>
      <c r="AO149" s="166"/>
      <c r="AP149" s="166"/>
      <c r="AQ149" s="166"/>
      <c r="AR149" s="166"/>
      <c r="AS149" s="166"/>
      <c r="AT149" s="166"/>
      <c r="AU149" s="166"/>
      <c r="AV149" s="166"/>
      <c r="AW149" s="166"/>
      <c r="AX149" s="166"/>
      <c r="AY149" s="166"/>
      <c r="AZ149" s="166"/>
      <c r="BA149" s="166"/>
      <c r="BB149" s="166"/>
      <c r="BC149" s="166"/>
      <c r="BD149" s="166"/>
      <c r="BE149" s="166"/>
      <c r="BF149" s="166"/>
      <c r="BG149" s="166"/>
      <c r="BH149" s="166"/>
      <c r="BI149" s="166"/>
      <c r="BJ149" s="166"/>
      <c r="BK149" s="166"/>
      <c r="BL149" s="166"/>
      <c r="BM149" s="166"/>
      <c r="BN149" s="166"/>
      <c r="BO149" s="166"/>
      <c r="BP149" s="166"/>
      <c r="BQ149" s="166"/>
      <c r="BR149" s="166"/>
      <c r="BS149" s="166"/>
    </row>
    <row r="150" spans="2:257" x14ac:dyDescent="0.3">
      <c r="T150" s="167"/>
      <c r="U150" s="167"/>
      <c r="V150" s="167"/>
      <c r="W150" s="167"/>
      <c r="X150" s="166"/>
      <c r="Y150" s="166"/>
      <c r="Z150" s="166"/>
      <c r="AA150" s="166"/>
      <c r="AB150" s="166"/>
      <c r="AC150" s="166">
        <v>0</v>
      </c>
      <c r="AD150" s="166" t="s">
        <v>345</v>
      </c>
      <c r="AE150" s="166"/>
      <c r="AF150" s="166"/>
      <c r="AG150" s="166"/>
      <c r="AH150" s="166"/>
      <c r="AI150" s="166">
        <v>0</v>
      </c>
      <c r="AJ150" s="166"/>
      <c r="AK150" s="166"/>
      <c r="AL150" s="166"/>
      <c r="AM150" s="166"/>
      <c r="AN150" s="166"/>
      <c r="AO150" s="166"/>
      <c r="AP150" s="166"/>
      <c r="AQ150" s="166"/>
      <c r="AR150" s="166"/>
      <c r="AS150" s="166"/>
      <c r="AT150" s="166"/>
      <c r="AU150" s="166"/>
      <c r="AV150" s="166"/>
      <c r="AW150" s="166"/>
      <c r="AX150" s="166"/>
      <c r="AY150" s="166"/>
      <c r="AZ150" s="166"/>
      <c r="BA150" s="166"/>
      <c r="BB150" s="166"/>
      <c r="BC150" s="166"/>
      <c r="BD150" s="166"/>
      <c r="BE150" s="166"/>
      <c r="BF150" s="166"/>
      <c r="BG150" s="166"/>
      <c r="BH150" s="166"/>
      <c r="BI150" s="166"/>
      <c r="BJ150" s="166"/>
      <c r="BK150" s="166"/>
      <c r="BL150" s="166"/>
      <c r="BM150" s="166"/>
      <c r="BN150" s="166"/>
      <c r="BO150" s="166"/>
      <c r="BP150" s="166"/>
      <c r="BQ150" s="166"/>
      <c r="BR150" s="166"/>
      <c r="BS150" s="166"/>
    </row>
    <row r="151" spans="2:257" x14ac:dyDescent="0.3">
      <c r="T151" s="167"/>
      <c r="U151" s="167"/>
      <c r="V151" s="167"/>
      <c r="W151" s="167"/>
      <c r="X151" s="166"/>
      <c r="Y151" s="166"/>
      <c r="Z151" s="166"/>
      <c r="AA151" s="166"/>
      <c r="AB151" s="166"/>
      <c r="AC151" s="166">
        <v>1</v>
      </c>
      <c r="AD151" s="166" t="s">
        <v>345</v>
      </c>
      <c r="AE151" s="166"/>
      <c r="AF151" s="166"/>
      <c r="AG151" s="166"/>
      <c r="AH151" s="166"/>
      <c r="AI151" s="166">
        <v>1</v>
      </c>
      <c r="AJ151" s="166"/>
      <c r="AK151" s="166"/>
      <c r="AL151" s="166"/>
      <c r="AM151" s="166"/>
      <c r="AN151" s="166"/>
      <c r="AO151" s="166"/>
      <c r="AP151" s="166"/>
      <c r="AQ151" s="166"/>
      <c r="AR151" s="166"/>
      <c r="AS151" s="166"/>
      <c r="AT151" s="166"/>
      <c r="AU151" s="166"/>
      <c r="AV151" s="166"/>
      <c r="AW151" s="166"/>
      <c r="AX151" s="166"/>
      <c r="AY151" s="166"/>
      <c r="AZ151" s="166"/>
      <c r="BA151" s="166"/>
      <c r="BB151" s="166"/>
      <c r="BC151" s="166"/>
      <c r="BD151" s="166"/>
      <c r="BE151" s="166"/>
      <c r="BF151" s="166"/>
      <c r="BG151" s="166"/>
      <c r="BH151" s="166"/>
      <c r="BI151" s="166"/>
      <c r="BJ151" s="166"/>
      <c r="BK151" s="166"/>
      <c r="BL151" s="166"/>
      <c r="BM151" s="166"/>
      <c r="BN151" s="166"/>
      <c r="BO151" s="166"/>
      <c r="BP151" s="166"/>
      <c r="BQ151" s="166"/>
      <c r="BR151" s="166"/>
      <c r="BS151" s="166"/>
    </row>
    <row r="152" spans="2:257" x14ac:dyDescent="0.3">
      <c r="T152" s="167"/>
      <c r="U152" s="167"/>
      <c r="V152" s="167"/>
      <c r="W152" s="167"/>
      <c r="X152" s="166"/>
      <c r="Y152" s="166"/>
      <c r="Z152" s="166"/>
      <c r="AA152" s="166"/>
      <c r="AB152" s="166"/>
      <c r="AC152" s="166">
        <v>2</v>
      </c>
      <c r="AD152" s="166" t="s">
        <v>345</v>
      </c>
      <c r="AE152" s="166"/>
      <c r="AF152" s="166"/>
      <c r="AG152" s="166"/>
      <c r="AH152" s="166"/>
      <c r="AI152" s="166">
        <v>2</v>
      </c>
      <c r="AJ152" s="166"/>
      <c r="AK152" s="166"/>
      <c r="AL152" s="166"/>
      <c r="AM152" s="166"/>
      <c r="AN152" s="166"/>
      <c r="AO152" s="166"/>
      <c r="AP152" s="166"/>
      <c r="AQ152" s="166"/>
      <c r="AR152" s="166"/>
      <c r="AS152" s="166"/>
      <c r="AT152" s="166"/>
      <c r="AU152" s="166"/>
      <c r="AV152" s="166"/>
      <c r="AW152" s="166"/>
      <c r="AX152" s="166"/>
      <c r="AY152" s="166"/>
      <c r="AZ152" s="166"/>
      <c r="BA152" s="166"/>
      <c r="BB152" s="166"/>
      <c r="BC152" s="166"/>
      <c r="BD152" s="166"/>
      <c r="BE152" s="166"/>
      <c r="BF152" s="166"/>
      <c r="BG152" s="166"/>
      <c r="BH152" s="166"/>
      <c r="BI152" s="166"/>
      <c r="BJ152" s="166"/>
      <c r="BK152" s="166"/>
      <c r="BL152" s="166"/>
      <c r="BM152" s="166"/>
      <c r="BN152" s="166"/>
      <c r="BO152" s="166"/>
      <c r="BP152" s="166"/>
      <c r="BQ152" s="166"/>
      <c r="BR152" s="166"/>
      <c r="BS152" s="166"/>
    </row>
    <row r="153" spans="2:257" x14ac:dyDescent="0.3">
      <c r="T153" s="167"/>
      <c r="U153" s="167"/>
      <c r="V153" s="167"/>
      <c r="W153" s="167"/>
      <c r="X153" s="166"/>
      <c r="Y153" s="166"/>
      <c r="Z153" s="166"/>
      <c r="AA153" s="166"/>
      <c r="AB153" s="166"/>
      <c r="AC153" s="166">
        <v>3</v>
      </c>
      <c r="AD153" s="166" t="s">
        <v>345</v>
      </c>
      <c r="AE153" s="166"/>
      <c r="AF153" s="166"/>
      <c r="AG153" s="166"/>
      <c r="AH153" s="166"/>
      <c r="AI153" s="166">
        <v>3</v>
      </c>
      <c r="AJ153" s="166"/>
      <c r="AK153" s="166"/>
      <c r="AL153" s="166"/>
      <c r="AM153" s="166"/>
      <c r="AN153" s="166"/>
      <c r="AO153" s="166"/>
      <c r="AP153" s="166"/>
      <c r="AQ153" s="166"/>
      <c r="AR153" s="166"/>
      <c r="AS153" s="166"/>
      <c r="AT153" s="166"/>
      <c r="AU153" s="166"/>
      <c r="AV153" s="166"/>
      <c r="AW153" s="166"/>
      <c r="AX153" s="166"/>
      <c r="AY153" s="166"/>
      <c r="AZ153" s="166"/>
      <c r="BA153" s="166"/>
      <c r="BB153" s="166"/>
      <c r="BC153" s="166"/>
      <c r="BD153" s="166"/>
      <c r="BE153" s="166"/>
      <c r="BF153" s="166"/>
      <c r="BG153" s="166"/>
      <c r="BH153" s="166"/>
      <c r="BI153" s="166"/>
      <c r="BJ153" s="166"/>
      <c r="BK153" s="166"/>
      <c r="BL153" s="166"/>
      <c r="BM153" s="166"/>
      <c r="BN153" s="166"/>
      <c r="BO153" s="166"/>
      <c r="BP153" s="166"/>
      <c r="BQ153" s="166"/>
      <c r="BR153" s="166"/>
      <c r="BS153" s="166"/>
    </row>
    <row r="154" spans="2:257" x14ac:dyDescent="0.3">
      <c r="T154" s="167"/>
      <c r="U154" s="167"/>
      <c r="V154" s="167"/>
      <c r="W154" s="167"/>
      <c r="X154" s="166"/>
      <c r="Y154" s="166"/>
      <c r="Z154" s="166"/>
      <c r="AA154" s="166"/>
      <c r="AB154" s="166"/>
      <c r="AC154" s="166">
        <v>4</v>
      </c>
      <c r="AD154" s="166" t="s">
        <v>345</v>
      </c>
      <c r="AE154" s="166"/>
      <c r="AF154" s="166"/>
      <c r="AG154" s="166"/>
      <c r="AH154" s="166"/>
      <c r="AI154" s="166">
        <v>4</v>
      </c>
      <c r="AJ154" s="166"/>
      <c r="AK154" s="166"/>
      <c r="AL154" s="166"/>
      <c r="AM154" s="166"/>
      <c r="AN154" s="166"/>
      <c r="AO154" s="166"/>
      <c r="AP154" s="166"/>
      <c r="AQ154" s="166"/>
      <c r="AR154" s="166"/>
      <c r="AS154" s="166"/>
      <c r="AT154" s="166"/>
      <c r="AU154" s="166"/>
      <c r="AV154" s="166"/>
      <c r="AW154" s="166"/>
      <c r="AX154" s="166"/>
      <c r="AY154" s="166"/>
      <c r="AZ154" s="166"/>
      <c r="BA154" s="166"/>
      <c r="BB154" s="166"/>
      <c r="BC154" s="166"/>
      <c r="BD154" s="166"/>
      <c r="BE154" s="166"/>
      <c r="BF154" s="166"/>
      <c r="BG154" s="166"/>
      <c r="BH154" s="166"/>
      <c r="BI154" s="166"/>
      <c r="BJ154" s="166"/>
      <c r="BK154" s="166"/>
      <c r="BL154" s="166"/>
      <c r="BM154" s="166"/>
      <c r="BN154" s="166"/>
      <c r="BO154" s="166"/>
      <c r="BP154" s="166"/>
      <c r="BQ154" s="166"/>
      <c r="BR154" s="166"/>
      <c r="BS154" s="166"/>
    </row>
    <row r="155" spans="2:257" x14ac:dyDescent="0.3">
      <c r="T155" s="167"/>
      <c r="U155" s="167"/>
      <c r="V155" s="167"/>
      <c r="W155" s="167"/>
      <c r="X155" s="166"/>
      <c r="Y155" s="166"/>
      <c r="Z155" s="166"/>
      <c r="AA155" s="166"/>
      <c r="AB155" s="166"/>
      <c r="AC155" s="166">
        <v>5</v>
      </c>
      <c r="AD155" s="166" t="s">
        <v>345</v>
      </c>
      <c r="AE155" s="166"/>
      <c r="AF155" s="166"/>
      <c r="AG155" s="166"/>
      <c r="AH155" s="166"/>
      <c r="AI155" s="166">
        <v>5</v>
      </c>
      <c r="AJ155" s="166"/>
      <c r="AK155" s="166"/>
      <c r="AL155" s="166"/>
      <c r="AM155" s="166"/>
      <c r="AN155" s="166"/>
      <c r="AO155" s="166"/>
      <c r="AP155" s="166"/>
      <c r="AQ155" s="166"/>
      <c r="AR155" s="166"/>
      <c r="AS155" s="166"/>
      <c r="AT155" s="166"/>
      <c r="AU155" s="166"/>
      <c r="AV155" s="166"/>
      <c r="AW155" s="166"/>
      <c r="AX155" s="166"/>
      <c r="AY155" s="166"/>
      <c r="AZ155" s="166"/>
      <c r="BA155" s="166"/>
      <c r="BB155" s="166"/>
      <c r="BC155" s="166"/>
      <c r="BD155" s="166"/>
      <c r="BE155" s="166"/>
      <c r="BF155" s="166"/>
      <c r="BG155" s="166"/>
      <c r="BH155" s="166"/>
      <c r="BI155" s="166"/>
      <c r="BJ155" s="166"/>
      <c r="BK155" s="166"/>
      <c r="BL155" s="166"/>
      <c r="BM155" s="166"/>
      <c r="BN155" s="166"/>
      <c r="BO155" s="166"/>
      <c r="BP155" s="166"/>
      <c r="BQ155" s="166"/>
      <c r="BR155" s="166"/>
      <c r="BS155" s="166"/>
    </row>
    <row r="156" spans="2:257" ht="17.399999999999999" x14ac:dyDescent="0.3">
      <c r="T156" s="167"/>
      <c r="U156" s="167"/>
      <c r="V156" s="167"/>
      <c r="W156" s="167"/>
      <c r="X156" s="166"/>
      <c r="Y156" s="166"/>
      <c r="Z156" s="166"/>
      <c r="AA156" s="166"/>
      <c r="AB156" s="166"/>
      <c r="AC156" s="166">
        <v>6</v>
      </c>
      <c r="AD156" s="166" t="s">
        <v>345</v>
      </c>
      <c r="AE156" s="166"/>
      <c r="AF156" s="166"/>
      <c r="AG156" s="166"/>
      <c r="AH156" s="166"/>
      <c r="AI156" s="166">
        <v>6</v>
      </c>
      <c r="AJ156" s="687"/>
      <c r="AK156" s="166"/>
      <c r="AL156" s="166"/>
      <c r="AM156" s="166"/>
      <c r="AN156" s="166"/>
      <c r="AO156" s="166"/>
      <c r="AP156" s="166"/>
      <c r="AQ156" s="166"/>
      <c r="AR156" s="166"/>
      <c r="AS156" s="166"/>
      <c r="AT156" s="166"/>
      <c r="AU156" s="166"/>
      <c r="AV156" s="166"/>
      <c r="AW156" s="166"/>
      <c r="AX156" s="166"/>
      <c r="AY156" s="166"/>
      <c r="AZ156" s="166"/>
      <c r="BA156" s="166"/>
      <c r="BB156" s="166"/>
      <c r="BC156" s="166"/>
      <c r="BD156" s="166"/>
      <c r="BE156" s="166"/>
      <c r="BF156" s="166"/>
      <c r="BG156" s="166"/>
      <c r="BH156" s="166"/>
      <c r="BI156" s="166"/>
      <c r="BJ156" s="166"/>
      <c r="BK156" s="166"/>
      <c r="BL156" s="166"/>
      <c r="BM156" s="166"/>
      <c r="BN156" s="166"/>
      <c r="BO156" s="166"/>
      <c r="BP156" s="166"/>
      <c r="BQ156" s="166"/>
      <c r="BR156" s="166"/>
      <c r="BS156" s="166"/>
    </row>
    <row r="157" spans="2:257" ht="17.399999999999999" x14ac:dyDescent="0.3">
      <c r="T157" s="167"/>
      <c r="U157" s="167"/>
      <c r="V157" s="167"/>
      <c r="W157" s="167"/>
      <c r="X157" s="166"/>
      <c r="Y157" s="166"/>
      <c r="Z157" s="166"/>
      <c r="AA157" s="166"/>
      <c r="AB157" s="166"/>
      <c r="AC157" s="166">
        <v>7</v>
      </c>
      <c r="AD157" s="166" t="s">
        <v>345</v>
      </c>
      <c r="AE157" s="166"/>
      <c r="AF157" s="166"/>
      <c r="AG157" s="166"/>
      <c r="AH157" s="166"/>
      <c r="AI157" s="166">
        <v>7</v>
      </c>
      <c r="AJ157" s="687">
        <v>0.31818181818181818</v>
      </c>
      <c r="AK157" s="166"/>
      <c r="AL157" s="166"/>
      <c r="AM157" s="166"/>
      <c r="AN157" s="166"/>
      <c r="AO157" s="166"/>
      <c r="AP157" s="166"/>
      <c r="AQ157" s="166"/>
      <c r="AR157" s="166"/>
      <c r="AS157" s="166"/>
      <c r="AT157" s="166"/>
      <c r="AU157" s="166"/>
      <c r="AV157" s="166"/>
      <c r="AW157" s="166"/>
      <c r="AX157" s="166"/>
      <c r="AY157" s="166"/>
      <c r="AZ157" s="166"/>
      <c r="BA157" s="166"/>
      <c r="BB157" s="166"/>
      <c r="BC157" s="166"/>
      <c r="BD157" s="166"/>
      <c r="BE157" s="166"/>
      <c r="BF157" s="166"/>
      <c r="BG157" s="166"/>
      <c r="BH157" s="166"/>
      <c r="BI157" s="166"/>
      <c r="BJ157" s="166"/>
      <c r="BK157" s="166"/>
      <c r="BL157" s="166"/>
      <c r="BM157" s="166"/>
      <c r="BN157" s="166"/>
      <c r="BO157" s="166"/>
      <c r="BP157" s="166"/>
      <c r="BQ157" s="166"/>
      <c r="BR157" s="166"/>
      <c r="BS157" s="166"/>
    </row>
    <row r="158" spans="2:257" ht="17.399999999999999" x14ac:dyDescent="0.3">
      <c r="T158" s="167"/>
      <c r="U158" s="167"/>
      <c r="V158" s="167"/>
      <c r="W158" s="167"/>
      <c r="X158" s="166"/>
      <c r="Y158" s="166"/>
      <c r="Z158" s="166"/>
      <c r="AA158" s="166"/>
      <c r="AB158" s="166"/>
      <c r="AC158" s="166">
        <v>8</v>
      </c>
      <c r="AD158" s="166" t="s">
        <v>161</v>
      </c>
      <c r="AE158" s="166"/>
      <c r="AF158" s="166"/>
      <c r="AG158" s="166"/>
      <c r="AH158" s="166"/>
      <c r="AI158" s="166">
        <v>8</v>
      </c>
      <c r="AJ158" s="687">
        <v>0.36363636363636365</v>
      </c>
      <c r="AK158" s="166"/>
      <c r="AL158" s="166"/>
      <c r="AM158" s="166"/>
      <c r="AN158" s="166"/>
      <c r="AO158" s="166"/>
      <c r="AP158" s="166"/>
      <c r="AQ158" s="166"/>
      <c r="AR158" s="166"/>
      <c r="AS158" s="166"/>
      <c r="AT158" s="166"/>
      <c r="AU158" s="166"/>
      <c r="AV158" s="166"/>
      <c r="AW158" s="166"/>
      <c r="AX158" s="166"/>
      <c r="AY158" s="166"/>
      <c r="AZ158" s="166"/>
      <c r="BA158" s="166"/>
      <c r="BB158" s="166"/>
      <c r="BC158" s="166"/>
      <c r="BD158" s="166"/>
      <c r="BE158" s="166"/>
      <c r="BF158" s="166"/>
      <c r="BG158" s="166"/>
      <c r="BH158" s="166"/>
      <c r="BI158" s="166"/>
      <c r="BJ158" s="166"/>
      <c r="BK158" s="166"/>
      <c r="BL158" s="166"/>
      <c r="BM158" s="166"/>
      <c r="BN158" s="166"/>
      <c r="BO158" s="166"/>
      <c r="BP158" s="166"/>
      <c r="BQ158" s="166"/>
      <c r="BR158" s="166"/>
      <c r="BS158" s="166"/>
    </row>
    <row r="159" spans="2:257" ht="17.399999999999999" x14ac:dyDescent="0.3">
      <c r="T159" s="167"/>
      <c r="U159" s="167"/>
      <c r="V159" s="167"/>
      <c r="W159" s="167"/>
      <c r="X159" s="166"/>
      <c r="Y159" s="166"/>
      <c r="Z159" s="166"/>
      <c r="AA159" s="166"/>
      <c r="AB159" s="166"/>
      <c r="AC159" s="166">
        <v>9</v>
      </c>
      <c r="AD159" s="166" t="s">
        <v>161</v>
      </c>
      <c r="AE159" s="166"/>
      <c r="AF159" s="166"/>
      <c r="AG159" s="166"/>
      <c r="AH159" s="166"/>
      <c r="AI159" s="166">
        <v>9</v>
      </c>
      <c r="AJ159" s="687"/>
      <c r="AK159" s="166"/>
      <c r="AL159" s="166"/>
      <c r="AM159" s="166"/>
      <c r="AN159" s="166"/>
      <c r="AO159" s="166"/>
      <c r="AP159" s="166"/>
      <c r="AQ159" s="166"/>
      <c r="AR159" s="166"/>
      <c r="AS159" s="166"/>
      <c r="AT159" s="166"/>
      <c r="AU159" s="166"/>
      <c r="AV159" s="166"/>
      <c r="AW159" s="166"/>
      <c r="AX159" s="166"/>
      <c r="AY159" s="166"/>
      <c r="AZ159" s="166"/>
      <c r="BA159" s="166"/>
      <c r="BB159" s="166"/>
      <c r="BC159" s="166"/>
      <c r="BD159" s="166"/>
      <c r="BE159" s="166"/>
      <c r="BF159" s="166"/>
      <c r="BG159" s="166"/>
      <c r="BH159" s="166"/>
      <c r="BI159" s="166"/>
      <c r="BJ159" s="166"/>
      <c r="BK159" s="166"/>
      <c r="BL159" s="166"/>
      <c r="BM159" s="166"/>
      <c r="BN159" s="166"/>
      <c r="BO159" s="166"/>
      <c r="BP159" s="166"/>
      <c r="BQ159" s="166"/>
      <c r="BR159" s="166"/>
      <c r="BS159" s="166"/>
    </row>
    <row r="160" spans="2:257" ht="17.399999999999999" x14ac:dyDescent="0.3">
      <c r="T160" s="167"/>
      <c r="U160" s="167"/>
      <c r="V160" s="167"/>
      <c r="W160" s="167"/>
      <c r="X160" s="166"/>
      <c r="Y160" s="166"/>
      <c r="Z160" s="166"/>
      <c r="AA160" s="166"/>
      <c r="AB160" s="166"/>
      <c r="AC160" s="166">
        <v>10</v>
      </c>
      <c r="AD160" s="166" t="s">
        <v>161</v>
      </c>
      <c r="AE160" s="166"/>
      <c r="AF160" s="166"/>
      <c r="AG160" s="166"/>
      <c r="AH160" s="166"/>
      <c r="AI160" s="166">
        <v>10</v>
      </c>
      <c r="AJ160" s="687"/>
      <c r="AK160" s="166"/>
      <c r="AL160" s="166"/>
      <c r="AM160" s="166"/>
      <c r="AN160" s="166"/>
      <c r="AO160" s="166"/>
      <c r="AP160" s="166"/>
      <c r="AQ160" s="166"/>
      <c r="AR160" s="166"/>
      <c r="AS160" s="166"/>
      <c r="AT160" s="166"/>
      <c r="AU160" s="166"/>
      <c r="AV160" s="166"/>
      <c r="AW160" s="166"/>
      <c r="AX160" s="166"/>
      <c r="AY160" s="166"/>
      <c r="AZ160" s="166"/>
      <c r="BA160" s="166"/>
      <c r="BB160" s="166"/>
      <c r="BC160" s="166"/>
      <c r="BD160" s="166"/>
      <c r="BE160" s="166"/>
      <c r="BF160" s="166"/>
      <c r="BG160" s="166"/>
      <c r="BH160" s="166"/>
      <c r="BI160" s="166"/>
      <c r="BJ160" s="166"/>
      <c r="BK160" s="166"/>
      <c r="BL160" s="166"/>
      <c r="BM160" s="166"/>
      <c r="BN160" s="166"/>
      <c r="BO160" s="166"/>
      <c r="BP160" s="166"/>
      <c r="BQ160" s="166"/>
      <c r="BR160" s="166"/>
      <c r="BS160" s="166"/>
    </row>
    <row r="161" spans="20:71" ht="17.399999999999999" x14ac:dyDescent="0.3">
      <c r="T161" s="167"/>
      <c r="U161" s="167"/>
      <c r="V161" s="167"/>
      <c r="W161" s="167"/>
      <c r="X161" s="166"/>
      <c r="Y161" s="166"/>
      <c r="Z161" s="166"/>
      <c r="AA161" s="166"/>
      <c r="AB161" s="166"/>
      <c r="AC161" s="166">
        <v>11</v>
      </c>
      <c r="AD161" s="166" t="s">
        <v>161</v>
      </c>
      <c r="AE161" s="166"/>
      <c r="AF161" s="166"/>
      <c r="AG161" s="166"/>
      <c r="AH161" s="166"/>
      <c r="AI161" s="166">
        <v>11</v>
      </c>
      <c r="AJ161" s="687"/>
      <c r="AK161" s="166"/>
      <c r="AL161" s="166"/>
      <c r="AM161" s="166"/>
      <c r="AN161" s="166"/>
      <c r="AO161" s="166"/>
      <c r="AP161" s="166"/>
      <c r="AQ161" s="166"/>
      <c r="AR161" s="166"/>
      <c r="AS161" s="166"/>
      <c r="AT161" s="166"/>
      <c r="AU161" s="166"/>
      <c r="AV161" s="166"/>
      <c r="AW161" s="166"/>
      <c r="AX161" s="166"/>
      <c r="AY161" s="166"/>
      <c r="AZ161" s="166"/>
      <c r="BA161" s="166"/>
      <c r="BB161" s="166"/>
      <c r="BC161" s="166"/>
      <c r="BD161" s="166"/>
      <c r="BE161" s="166"/>
      <c r="BF161" s="166"/>
      <c r="BG161" s="166"/>
      <c r="BH161" s="166"/>
      <c r="BI161" s="166"/>
      <c r="BJ161" s="166"/>
      <c r="BK161" s="166"/>
      <c r="BL161" s="166"/>
      <c r="BM161" s="166"/>
      <c r="BN161" s="166"/>
      <c r="BO161" s="166"/>
      <c r="BP161" s="166"/>
      <c r="BQ161" s="166"/>
      <c r="BR161" s="166"/>
      <c r="BS161" s="166"/>
    </row>
    <row r="162" spans="20:71" ht="17.399999999999999" x14ac:dyDescent="0.3">
      <c r="T162" s="167"/>
      <c r="U162" s="167"/>
      <c r="V162" s="167"/>
      <c r="W162" s="167"/>
      <c r="X162" s="166"/>
      <c r="Y162" s="166"/>
      <c r="Z162" s="166"/>
      <c r="AA162" s="166"/>
      <c r="AB162" s="166"/>
      <c r="AC162" s="166">
        <v>12</v>
      </c>
      <c r="AD162" s="166" t="s">
        <v>161</v>
      </c>
      <c r="AE162" s="166"/>
      <c r="AF162" s="166"/>
      <c r="AG162" s="166"/>
      <c r="AH162" s="166"/>
      <c r="AI162" s="166">
        <v>12</v>
      </c>
      <c r="AJ162" s="687"/>
      <c r="AK162" s="166"/>
      <c r="AL162" s="166"/>
      <c r="AM162" s="166"/>
      <c r="AN162" s="166"/>
      <c r="AO162" s="166"/>
      <c r="AP162" s="166"/>
      <c r="AQ162" s="166"/>
      <c r="AR162" s="166"/>
      <c r="AS162" s="166"/>
      <c r="AT162" s="166"/>
      <c r="AU162" s="166"/>
      <c r="AV162" s="166"/>
      <c r="AW162" s="166"/>
      <c r="AX162" s="166"/>
      <c r="AY162" s="166"/>
      <c r="AZ162" s="166"/>
      <c r="BA162" s="166"/>
      <c r="BB162" s="166"/>
      <c r="BC162" s="166"/>
      <c r="BD162" s="166"/>
      <c r="BE162" s="166"/>
      <c r="BF162" s="166"/>
      <c r="BG162" s="166"/>
      <c r="BH162" s="166"/>
      <c r="BI162" s="166"/>
      <c r="BJ162" s="166"/>
      <c r="BK162" s="166"/>
      <c r="BL162" s="166"/>
      <c r="BM162" s="166"/>
      <c r="BN162" s="166"/>
      <c r="BO162" s="166"/>
      <c r="BP162" s="166"/>
      <c r="BQ162" s="166"/>
      <c r="BR162" s="166"/>
      <c r="BS162" s="166"/>
    </row>
    <row r="163" spans="20:71" ht="17.399999999999999" x14ac:dyDescent="0.3">
      <c r="T163" s="167"/>
      <c r="U163" s="167"/>
      <c r="V163" s="167"/>
      <c r="W163" s="167"/>
      <c r="X163" s="166"/>
      <c r="Y163" s="166"/>
      <c r="Z163" s="166"/>
      <c r="AA163" s="166"/>
      <c r="AB163" s="166"/>
      <c r="AC163" s="166">
        <v>13</v>
      </c>
      <c r="AD163" s="166" t="s">
        <v>161</v>
      </c>
      <c r="AE163" s="166"/>
      <c r="AF163" s="166"/>
      <c r="AG163" s="166"/>
      <c r="AH163" s="166"/>
      <c r="AI163" s="166">
        <v>13</v>
      </c>
      <c r="AJ163" s="687"/>
      <c r="AK163" s="166"/>
      <c r="AL163" s="166"/>
      <c r="AM163" s="166"/>
      <c r="AN163" s="166"/>
      <c r="AO163" s="166"/>
      <c r="AP163" s="166"/>
      <c r="AQ163" s="166"/>
      <c r="AR163" s="166"/>
      <c r="AS163" s="166"/>
      <c r="AT163" s="166"/>
      <c r="AU163" s="166"/>
      <c r="AV163" s="166"/>
      <c r="AW163" s="166"/>
      <c r="AX163" s="166"/>
      <c r="AY163" s="166"/>
      <c r="AZ163" s="166"/>
      <c r="BA163" s="166"/>
      <c r="BB163" s="166"/>
      <c r="BC163" s="166"/>
      <c r="BD163" s="166"/>
      <c r="BE163" s="166"/>
      <c r="BF163" s="166"/>
      <c r="BG163" s="166"/>
      <c r="BH163" s="166"/>
      <c r="BI163" s="166"/>
      <c r="BJ163" s="166"/>
      <c r="BK163" s="166"/>
      <c r="BL163" s="166"/>
      <c r="BM163" s="166"/>
      <c r="BN163" s="166"/>
      <c r="BO163" s="166"/>
      <c r="BP163" s="166"/>
      <c r="BQ163" s="166"/>
      <c r="BR163" s="166"/>
      <c r="BS163" s="166"/>
    </row>
    <row r="164" spans="20:71" ht="17.399999999999999" x14ac:dyDescent="0.3">
      <c r="T164" s="167"/>
      <c r="U164" s="167"/>
      <c r="V164" s="167"/>
      <c r="W164" s="167"/>
      <c r="X164" s="166"/>
      <c r="Y164" s="166"/>
      <c r="Z164" s="166"/>
      <c r="AA164" s="166"/>
      <c r="AB164" s="166"/>
      <c r="AC164" s="166">
        <v>14</v>
      </c>
      <c r="AD164" s="166" t="s">
        <v>161</v>
      </c>
      <c r="AE164" s="166"/>
      <c r="AF164" s="166"/>
      <c r="AG164" s="166"/>
      <c r="AH164" s="166"/>
      <c r="AI164" s="166">
        <v>14</v>
      </c>
      <c r="AJ164" s="687">
        <v>0.63636363636363635</v>
      </c>
      <c r="AK164" s="166"/>
      <c r="AL164" s="166"/>
      <c r="AM164" s="166"/>
      <c r="AN164" s="166"/>
      <c r="AO164" s="166"/>
      <c r="AP164" s="166"/>
      <c r="AQ164" s="166"/>
      <c r="AR164" s="166"/>
      <c r="AS164" s="166"/>
      <c r="AT164" s="166"/>
      <c r="AU164" s="166"/>
      <c r="AV164" s="166"/>
      <c r="AW164" s="166"/>
      <c r="AX164" s="166"/>
      <c r="AY164" s="166"/>
      <c r="AZ164" s="166"/>
      <c r="BA164" s="166"/>
      <c r="BB164" s="166"/>
      <c r="BC164" s="166"/>
      <c r="BD164" s="166"/>
      <c r="BE164" s="166"/>
      <c r="BF164" s="166"/>
      <c r="BG164" s="166"/>
      <c r="BH164" s="166"/>
      <c r="BI164" s="166"/>
      <c r="BJ164" s="166"/>
      <c r="BK164" s="166"/>
      <c r="BL164" s="166"/>
      <c r="BM164" s="166"/>
      <c r="BN164" s="166"/>
      <c r="BO164" s="166"/>
      <c r="BP164" s="166"/>
      <c r="BQ164" s="166"/>
      <c r="BR164" s="166"/>
      <c r="BS164" s="166"/>
    </row>
    <row r="165" spans="20:71" ht="17.399999999999999" x14ac:dyDescent="0.3">
      <c r="T165" s="167"/>
      <c r="U165" s="167"/>
      <c r="V165" s="167"/>
      <c r="W165" s="167"/>
      <c r="X165" s="166"/>
      <c r="Y165" s="166"/>
      <c r="Z165" s="166"/>
      <c r="AA165" s="166"/>
      <c r="AB165" s="166"/>
      <c r="AC165" s="166">
        <v>15</v>
      </c>
      <c r="AD165" s="166" t="s">
        <v>161</v>
      </c>
      <c r="AE165" s="166"/>
      <c r="AF165" s="166"/>
      <c r="AG165" s="166"/>
      <c r="AH165" s="166"/>
      <c r="AI165" s="166">
        <v>15</v>
      </c>
      <c r="AJ165" s="687">
        <v>0.68181818181818177</v>
      </c>
      <c r="AK165" s="166"/>
      <c r="AL165" s="166"/>
      <c r="AM165" s="166"/>
      <c r="AN165" s="166"/>
      <c r="AO165" s="166"/>
      <c r="AP165" s="166"/>
      <c r="AQ165" s="166"/>
      <c r="AR165" s="166"/>
      <c r="AS165" s="166"/>
      <c r="AT165" s="166"/>
      <c r="AU165" s="166"/>
      <c r="AV165" s="166"/>
      <c r="AW165" s="166"/>
      <c r="AX165" s="166"/>
      <c r="AY165" s="166"/>
      <c r="AZ165" s="166"/>
      <c r="BA165" s="166"/>
      <c r="BB165" s="166"/>
      <c r="BC165" s="166"/>
      <c r="BD165" s="166"/>
      <c r="BE165" s="166"/>
      <c r="BF165" s="166"/>
      <c r="BG165" s="166"/>
      <c r="BH165" s="166"/>
      <c r="BI165" s="166"/>
      <c r="BJ165" s="166"/>
      <c r="BK165" s="166"/>
      <c r="BL165" s="166"/>
      <c r="BM165" s="166"/>
      <c r="BN165" s="166"/>
      <c r="BO165" s="166"/>
      <c r="BP165" s="166"/>
      <c r="BQ165" s="166"/>
      <c r="BR165" s="166"/>
      <c r="BS165" s="166"/>
    </row>
    <row r="166" spans="20:71" ht="17.399999999999999" x14ac:dyDescent="0.3">
      <c r="T166" s="167"/>
      <c r="U166" s="167"/>
      <c r="V166" s="167"/>
      <c r="W166" s="167"/>
      <c r="X166" s="166"/>
      <c r="Y166" s="166"/>
      <c r="Z166" s="166"/>
      <c r="AA166" s="166"/>
      <c r="AB166" s="166"/>
      <c r="AC166" s="166">
        <v>16</v>
      </c>
      <c r="AD166" s="166" t="s">
        <v>161</v>
      </c>
      <c r="AE166" s="166"/>
      <c r="AF166" s="166"/>
      <c r="AG166" s="166"/>
      <c r="AH166" s="166"/>
      <c r="AI166" s="166">
        <v>16</v>
      </c>
      <c r="AJ166" s="687"/>
      <c r="AK166" s="166"/>
      <c r="AL166" s="166"/>
      <c r="AM166" s="166"/>
      <c r="AN166" s="166"/>
      <c r="AO166" s="166"/>
      <c r="AP166" s="166"/>
      <c r="AQ166" s="166"/>
      <c r="AR166" s="166"/>
      <c r="AS166" s="166"/>
      <c r="AT166" s="166"/>
      <c r="AU166" s="166"/>
      <c r="AV166" s="166"/>
      <c r="AW166" s="166"/>
      <c r="AX166" s="166"/>
      <c r="AY166" s="166"/>
      <c r="AZ166" s="166"/>
      <c r="BA166" s="166"/>
      <c r="BB166" s="166"/>
      <c r="BC166" s="166"/>
      <c r="BD166" s="166"/>
      <c r="BE166" s="166"/>
      <c r="BF166" s="166"/>
      <c r="BG166" s="166"/>
      <c r="BH166" s="166"/>
      <c r="BI166" s="166"/>
      <c r="BJ166" s="166"/>
      <c r="BK166" s="166"/>
      <c r="BL166" s="166"/>
      <c r="BM166" s="166"/>
      <c r="BN166" s="166"/>
      <c r="BO166" s="166"/>
      <c r="BP166" s="166"/>
      <c r="BQ166" s="166"/>
      <c r="BR166" s="166"/>
      <c r="BS166" s="166"/>
    </row>
    <row r="167" spans="20:71" ht="17.399999999999999" x14ac:dyDescent="0.3">
      <c r="T167" s="167"/>
      <c r="U167" s="167"/>
      <c r="V167" s="167"/>
      <c r="W167" s="167"/>
      <c r="X167" s="166"/>
      <c r="Y167" s="166"/>
      <c r="Z167" s="166"/>
      <c r="AA167" s="166"/>
      <c r="AB167" s="166"/>
      <c r="AC167" s="166">
        <v>17</v>
      </c>
      <c r="AD167" s="166" t="s">
        <v>161</v>
      </c>
      <c r="AE167" s="166"/>
      <c r="AF167" s="166"/>
      <c r="AG167" s="166"/>
      <c r="AH167" s="166"/>
      <c r="AI167" s="166">
        <v>17</v>
      </c>
      <c r="AJ167" s="687"/>
      <c r="AK167" s="166"/>
      <c r="AL167" s="166"/>
      <c r="AM167" s="166"/>
      <c r="AN167" s="166"/>
      <c r="AO167" s="166"/>
      <c r="AP167" s="166"/>
      <c r="AQ167" s="166"/>
      <c r="AR167" s="166"/>
      <c r="AS167" s="166"/>
      <c r="AT167" s="166"/>
      <c r="AU167" s="166"/>
      <c r="AV167" s="166"/>
      <c r="AW167" s="166"/>
      <c r="AX167" s="166"/>
      <c r="AY167" s="166"/>
      <c r="AZ167" s="166"/>
      <c r="BA167" s="166"/>
      <c r="BB167" s="166"/>
      <c r="BC167" s="166"/>
      <c r="BD167" s="166"/>
      <c r="BE167" s="166"/>
      <c r="BF167" s="166"/>
      <c r="BG167" s="166"/>
      <c r="BH167" s="166"/>
      <c r="BI167" s="166"/>
      <c r="BJ167" s="166"/>
      <c r="BK167" s="166"/>
      <c r="BL167" s="166"/>
      <c r="BM167" s="166"/>
      <c r="BN167" s="166"/>
      <c r="BO167" s="166"/>
      <c r="BP167" s="166"/>
      <c r="BQ167" s="166"/>
      <c r="BR167" s="166"/>
      <c r="BS167" s="166"/>
    </row>
    <row r="168" spans="20:71" ht="17.399999999999999" x14ac:dyDescent="0.3">
      <c r="T168" s="167"/>
      <c r="U168" s="167"/>
      <c r="V168" s="167"/>
      <c r="W168" s="167"/>
      <c r="X168" s="166"/>
      <c r="Y168" s="166"/>
      <c r="Z168" s="166"/>
      <c r="AA168" s="166"/>
      <c r="AB168" s="166"/>
      <c r="AC168" s="166">
        <v>18</v>
      </c>
      <c r="AD168" s="166" t="s">
        <v>161</v>
      </c>
      <c r="AE168" s="166"/>
      <c r="AF168" s="166"/>
      <c r="AG168" s="166"/>
      <c r="AH168" s="166"/>
      <c r="AI168" s="166">
        <v>18</v>
      </c>
      <c r="AJ168" s="687"/>
      <c r="AK168" s="166"/>
      <c r="AL168" s="166"/>
      <c r="AM168" s="166"/>
      <c r="AN168" s="166"/>
      <c r="AO168" s="166"/>
      <c r="AP168" s="166"/>
      <c r="AQ168" s="166"/>
      <c r="AR168" s="166"/>
      <c r="AS168" s="166"/>
      <c r="AT168" s="166"/>
      <c r="AU168" s="166"/>
      <c r="AV168" s="166"/>
      <c r="AW168" s="166"/>
      <c r="AX168" s="166"/>
      <c r="AY168" s="166"/>
      <c r="AZ168" s="166"/>
      <c r="BA168" s="166"/>
      <c r="BB168" s="166"/>
      <c r="BC168" s="166"/>
      <c r="BD168" s="166"/>
      <c r="BE168" s="166"/>
      <c r="BF168" s="166"/>
      <c r="BG168" s="166"/>
      <c r="BH168" s="166"/>
      <c r="BI168" s="166"/>
      <c r="BJ168" s="166"/>
      <c r="BK168" s="166"/>
      <c r="BL168" s="166"/>
      <c r="BM168" s="166"/>
      <c r="BN168" s="166"/>
      <c r="BO168" s="166"/>
      <c r="BP168" s="166"/>
      <c r="BQ168" s="166"/>
      <c r="BR168" s="166"/>
      <c r="BS168" s="166"/>
    </row>
    <row r="169" spans="20:71" ht="17.399999999999999" x14ac:dyDescent="0.3">
      <c r="T169" s="167"/>
      <c r="U169" s="167"/>
      <c r="V169" s="167"/>
      <c r="W169" s="167"/>
      <c r="X169" s="166"/>
      <c r="Y169" s="166"/>
      <c r="Z169" s="166"/>
      <c r="AA169" s="166"/>
      <c r="AB169" s="166"/>
      <c r="AC169" s="166">
        <v>19</v>
      </c>
      <c r="AD169" s="166" t="s">
        <v>161</v>
      </c>
      <c r="AE169" s="166"/>
      <c r="AF169" s="166"/>
      <c r="AG169" s="166"/>
      <c r="AH169" s="166"/>
      <c r="AI169" s="166">
        <v>19</v>
      </c>
      <c r="AJ169" s="687"/>
      <c r="AK169" s="166"/>
      <c r="AL169" s="166"/>
      <c r="AM169" s="166"/>
      <c r="AN169" s="166"/>
      <c r="AO169" s="166"/>
      <c r="AP169" s="166"/>
      <c r="AQ169" s="166"/>
      <c r="AR169" s="166"/>
      <c r="AS169" s="166"/>
      <c r="AT169" s="166"/>
      <c r="AU169" s="166"/>
      <c r="AV169" s="166"/>
      <c r="AW169" s="166"/>
      <c r="AX169" s="166"/>
      <c r="AY169" s="166"/>
      <c r="AZ169" s="166"/>
      <c r="BA169" s="166"/>
      <c r="BB169" s="166"/>
      <c r="BC169" s="166"/>
      <c r="BD169" s="166"/>
      <c r="BE169" s="166"/>
      <c r="BF169" s="166"/>
      <c r="BG169" s="166"/>
      <c r="BH169" s="166"/>
      <c r="BI169" s="166"/>
      <c r="BJ169" s="166"/>
      <c r="BK169" s="166"/>
      <c r="BL169" s="166"/>
      <c r="BM169" s="166"/>
      <c r="BN169" s="166"/>
      <c r="BO169" s="166"/>
      <c r="BP169" s="166"/>
      <c r="BQ169" s="166"/>
      <c r="BR169" s="166"/>
      <c r="BS169" s="166"/>
    </row>
    <row r="170" spans="20:71" ht="17.399999999999999" x14ac:dyDescent="0.3">
      <c r="T170" s="167"/>
      <c r="U170" s="167"/>
      <c r="V170" s="167"/>
      <c r="W170" s="167"/>
      <c r="X170" s="166"/>
      <c r="Y170" s="166"/>
      <c r="Z170" s="166"/>
      <c r="AA170" s="166"/>
      <c r="AB170" s="166"/>
      <c r="AC170" s="166">
        <v>20</v>
      </c>
      <c r="AD170" s="166" t="s">
        <v>161</v>
      </c>
      <c r="AE170" s="166"/>
      <c r="AF170" s="166"/>
      <c r="AG170" s="166"/>
      <c r="AH170" s="166"/>
      <c r="AI170" s="166">
        <v>20</v>
      </c>
      <c r="AJ170" s="687"/>
      <c r="AK170" s="166"/>
      <c r="AL170" s="166"/>
      <c r="AM170" s="166"/>
      <c r="AN170" s="166"/>
      <c r="AO170" s="166"/>
      <c r="AP170" s="166"/>
      <c r="AQ170" s="166"/>
      <c r="AR170" s="166"/>
      <c r="AS170" s="166"/>
      <c r="AT170" s="166"/>
      <c r="AU170" s="166"/>
      <c r="AV170" s="166"/>
      <c r="AW170" s="166"/>
      <c r="AX170" s="166"/>
      <c r="AY170" s="166"/>
      <c r="AZ170" s="166"/>
      <c r="BA170" s="166"/>
      <c r="BB170" s="166"/>
      <c r="BC170" s="166"/>
      <c r="BD170" s="166"/>
      <c r="BE170" s="166"/>
      <c r="BF170" s="166"/>
      <c r="BG170" s="166"/>
      <c r="BH170" s="166"/>
      <c r="BI170" s="166"/>
      <c r="BJ170" s="166"/>
      <c r="BK170" s="166"/>
      <c r="BL170" s="166"/>
      <c r="BM170" s="166"/>
      <c r="BN170" s="166"/>
      <c r="BO170" s="166"/>
      <c r="BP170" s="166"/>
      <c r="BQ170" s="166"/>
      <c r="BR170" s="166"/>
      <c r="BS170" s="166"/>
    </row>
    <row r="171" spans="20:71" ht="17.399999999999999" x14ac:dyDescent="0.3">
      <c r="T171" s="167"/>
      <c r="U171" s="167"/>
      <c r="V171" s="167"/>
      <c r="W171" s="167"/>
      <c r="X171" s="166"/>
      <c r="Y171" s="166"/>
      <c r="Z171" s="166"/>
      <c r="AA171" s="166"/>
      <c r="AB171" s="166"/>
      <c r="AC171" s="166">
        <v>21</v>
      </c>
      <c r="AD171" s="166" t="s">
        <v>161</v>
      </c>
      <c r="AE171" s="166"/>
      <c r="AF171" s="166"/>
      <c r="AG171" s="166"/>
      <c r="AH171" s="166"/>
      <c r="AI171" s="166">
        <v>21</v>
      </c>
      <c r="AJ171" s="687"/>
      <c r="AK171" s="166"/>
      <c r="AL171" s="166"/>
      <c r="AM171" s="166"/>
      <c r="AN171" s="166"/>
      <c r="AO171" s="166"/>
      <c r="AP171" s="166"/>
      <c r="AQ171" s="166"/>
      <c r="AR171" s="166"/>
      <c r="AS171" s="166"/>
      <c r="AT171" s="166"/>
      <c r="AU171" s="166"/>
      <c r="AV171" s="166"/>
      <c r="AW171" s="166"/>
      <c r="AX171" s="166"/>
      <c r="AY171" s="166"/>
      <c r="AZ171" s="166"/>
      <c r="BA171" s="166"/>
      <c r="BB171" s="166"/>
      <c r="BC171" s="166"/>
      <c r="BD171" s="166"/>
      <c r="BE171" s="166"/>
      <c r="BF171" s="166"/>
      <c r="BG171" s="166"/>
      <c r="BH171" s="166"/>
      <c r="BI171" s="166"/>
      <c r="BJ171" s="166"/>
      <c r="BK171" s="166"/>
      <c r="BL171" s="166"/>
      <c r="BM171" s="166"/>
      <c r="BN171" s="166"/>
      <c r="BO171" s="166"/>
      <c r="BP171" s="166"/>
      <c r="BQ171" s="166"/>
      <c r="BR171" s="166"/>
      <c r="BS171" s="166"/>
    </row>
    <row r="172" spans="20:71" ht="17.399999999999999" x14ac:dyDescent="0.3">
      <c r="T172" s="167"/>
      <c r="U172" s="167"/>
      <c r="V172" s="167"/>
      <c r="W172" s="167"/>
      <c r="X172" s="166"/>
      <c r="Y172" s="166"/>
      <c r="Z172" s="166"/>
      <c r="AA172" s="166"/>
      <c r="AB172" s="166"/>
      <c r="AC172" s="166">
        <v>22</v>
      </c>
      <c r="AD172" s="166" t="s">
        <v>161</v>
      </c>
      <c r="AE172" s="166"/>
      <c r="AF172" s="166"/>
      <c r="AG172" s="166"/>
      <c r="AH172" s="166"/>
      <c r="AI172" s="166">
        <v>22</v>
      </c>
      <c r="AJ172" s="687">
        <v>1</v>
      </c>
      <c r="AK172" s="166"/>
      <c r="AL172" s="166"/>
      <c r="AM172" s="166"/>
      <c r="AN172" s="166"/>
      <c r="AO172" s="166"/>
      <c r="AP172" s="166"/>
      <c r="AQ172" s="166"/>
      <c r="AR172" s="166"/>
      <c r="AS172" s="166"/>
      <c r="AT172" s="166"/>
      <c r="AU172" s="166"/>
      <c r="AV172" s="166"/>
      <c r="AW172" s="166"/>
      <c r="AX172" s="166"/>
      <c r="AY172" s="166"/>
      <c r="AZ172" s="166"/>
      <c r="BA172" s="166"/>
      <c r="BB172" s="166"/>
      <c r="BC172" s="166"/>
      <c r="BD172" s="166"/>
      <c r="BE172" s="166"/>
      <c r="BF172" s="166"/>
      <c r="BG172" s="166"/>
      <c r="BH172" s="166"/>
      <c r="BI172" s="166"/>
      <c r="BJ172" s="166"/>
      <c r="BK172" s="166"/>
      <c r="BL172" s="166"/>
      <c r="BM172" s="166"/>
      <c r="BN172" s="166"/>
      <c r="BO172" s="166"/>
      <c r="BP172" s="166"/>
      <c r="BQ172" s="166"/>
      <c r="BR172" s="166"/>
      <c r="BS172" s="166"/>
    </row>
    <row r="173" spans="20:71" x14ac:dyDescent="0.3">
      <c r="T173" s="167"/>
      <c r="U173" s="167"/>
      <c r="V173" s="167"/>
      <c r="W173" s="167"/>
      <c r="X173" s="166"/>
      <c r="Y173" s="166"/>
      <c r="Z173" s="166"/>
      <c r="AA173" s="166"/>
      <c r="AB173" s="166"/>
      <c r="AC173" s="166"/>
      <c r="AD173" s="166"/>
      <c r="AE173" s="166"/>
      <c r="AF173" s="166"/>
      <c r="AG173" s="166"/>
      <c r="AH173" s="166"/>
      <c r="AI173" s="166"/>
      <c r="AJ173" s="166"/>
      <c r="AK173" s="166"/>
      <c r="AL173" s="166"/>
      <c r="AM173" s="166"/>
      <c r="AN173" s="166"/>
      <c r="AO173" s="166"/>
      <c r="AP173" s="166"/>
      <c r="AQ173" s="166"/>
      <c r="AR173" s="166"/>
      <c r="AS173" s="166"/>
      <c r="AT173" s="166"/>
      <c r="AU173" s="166"/>
      <c r="AV173" s="166"/>
      <c r="AW173" s="166"/>
      <c r="AX173" s="166"/>
      <c r="AY173" s="166"/>
      <c r="AZ173" s="166"/>
      <c r="BA173" s="166"/>
      <c r="BB173" s="166"/>
      <c r="BC173" s="166"/>
      <c r="BD173" s="166"/>
      <c r="BE173" s="166"/>
      <c r="BF173" s="166"/>
      <c r="BG173" s="166"/>
      <c r="BH173" s="166"/>
      <c r="BI173" s="166"/>
      <c r="BJ173" s="166"/>
      <c r="BK173" s="166"/>
      <c r="BL173" s="166"/>
      <c r="BM173" s="166"/>
      <c r="BN173" s="166"/>
      <c r="BO173" s="166"/>
      <c r="BP173" s="166"/>
      <c r="BQ173" s="166"/>
      <c r="BR173" s="166"/>
      <c r="BS173" s="166"/>
    </row>
    <row r="174" spans="20:71" x14ac:dyDescent="0.3">
      <c r="T174" s="167"/>
      <c r="U174" s="167"/>
      <c r="V174" s="167"/>
      <c r="W174" s="167"/>
      <c r="X174" s="166"/>
      <c r="Y174" s="166"/>
      <c r="Z174" s="166"/>
      <c r="AA174" s="166"/>
      <c r="AB174" s="166"/>
      <c r="AC174" s="166"/>
      <c r="AD174" s="166"/>
      <c r="AE174" s="166"/>
      <c r="AF174" s="166"/>
      <c r="AG174" s="166"/>
      <c r="AH174" s="166"/>
      <c r="AI174" s="166"/>
      <c r="AJ174" s="166"/>
      <c r="AK174" s="166"/>
      <c r="AL174" s="166"/>
      <c r="AM174" s="166"/>
      <c r="AN174" s="166"/>
      <c r="AO174" s="166"/>
      <c r="AP174" s="166"/>
      <c r="AQ174" s="166"/>
      <c r="AR174" s="166"/>
      <c r="AS174" s="166"/>
      <c r="AT174" s="166"/>
      <c r="AU174" s="166"/>
      <c r="AV174" s="166"/>
      <c r="AW174" s="166"/>
      <c r="AX174" s="166"/>
      <c r="AY174" s="166"/>
      <c r="AZ174" s="166"/>
      <c r="BA174" s="166"/>
      <c r="BB174" s="166"/>
      <c r="BC174" s="166"/>
      <c r="BD174" s="166"/>
      <c r="BE174" s="166"/>
      <c r="BF174" s="166"/>
      <c r="BG174" s="166"/>
      <c r="BH174" s="166"/>
      <c r="BI174" s="166"/>
      <c r="BJ174" s="166"/>
      <c r="BK174" s="166"/>
      <c r="BL174" s="166"/>
      <c r="BM174" s="166"/>
      <c r="BN174" s="166"/>
      <c r="BO174" s="166"/>
      <c r="BP174" s="166"/>
      <c r="BQ174" s="166"/>
      <c r="BR174" s="166"/>
      <c r="BS174" s="166"/>
    </row>
    <row r="175" spans="20:71" x14ac:dyDescent="0.3">
      <c r="T175" s="167"/>
      <c r="U175" s="167"/>
      <c r="V175" s="167"/>
      <c r="W175" s="167"/>
      <c r="X175" s="166"/>
      <c r="Y175" s="166"/>
      <c r="Z175" s="166"/>
      <c r="AA175" s="166"/>
      <c r="AB175" s="166"/>
      <c r="AC175" s="166">
        <v>0</v>
      </c>
      <c r="AD175" s="166" t="s">
        <v>348</v>
      </c>
      <c r="AE175" s="166"/>
      <c r="AF175" s="166"/>
      <c r="AG175" s="166"/>
      <c r="AH175" s="166"/>
      <c r="AI175" s="166">
        <v>0</v>
      </c>
      <c r="AJ175" s="166"/>
      <c r="AK175" s="166"/>
      <c r="AL175" s="166"/>
      <c r="AM175" s="166"/>
      <c r="AN175" s="166"/>
      <c r="AO175" s="166"/>
      <c r="AP175" s="166"/>
      <c r="AQ175" s="166"/>
      <c r="AR175" s="166"/>
      <c r="AS175" s="166"/>
      <c r="AT175" s="166"/>
      <c r="AU175" s="166"/>
      <c r="AV175" s="166"/>
      <c r="AW175" s="166"/>
      <c r="AX175" s="166"/>
      <c r="AY175" s="166"/>
      <c r="AZ175" s="166"/>
      <c r="BA175" s="166"/>
      <c r="BB175" s="166"/>
      <c r="BC175" s="166"/>
      <c r="BD175" s="166"/>
      <c r="BE175" s="166"/>
      <c r="BF175" s="166"/>
      <c r="BG175" s="166"/>
      <c r="BH175" s="166"/>
      <c r="BI175" s="166"/>
      <c r="BJ175" s="166"/>
      <c r="BK175" s="166"/>
      <c r="BL175" s="166"/>
      <c r="BM175" s="166"/>
      <c r="BN175" s="166"/>
      <c r="BO175" s="166"/>
      <c r="BP175" s="166"/>
      <c r="BQ175" s="166"/>
      <c r="BR175" s="166"/>
      <c r="BS175" s="166"/>
    </row>
    <row r="176" spans="20:71" x14ac:dyDescent="0.3">
      <c r="T176" s="167"/>
      <c r="U176" s="167"/>
      <c r="V176" s="167"/>
      <c r="W176" s="167"/>
      <c r="X176" s="166"/>
      <c r="Y176" s="166"/>
      <c r="Z176" s="166"/>
      <c r="AA176" s="166"/>
      <c r="AB176" s="166"/>
      <c r="AC176" s="166">
        <v>1</v>
      </c>
      <c r="AD176" s="166" t="s">
        <v>348</v>
      </c>
      <c r="AE176" s="166"/>
      <c r="AF176" s="166"/>
      <c r="AG176" s="166"/>
      <c r="AH176" s="166"/>
      <c r="AI176" s="166">
        <v>1</v>
      </c>
      <c r="AJ176" s="166"/>
      <c r="AK176" s="166"/>
      <c r="AL176" s="166"/>
      <c r="AM176" s="166"/>
      <c r="AN176" s="166"/>
      <c r="AO176" s="166"/>
      <c r="AP176" s="166"/>
      <c r="AQ176" s="166"/>
      <c r="AR176" s="166"/>
      <c r="AS176" s="166"/>
      <c r="AT176" s="166"/>
      <c r="AU176" s="166"/>
      <c r="AV176" s="166"/>
      <c r="AW176" s="166"/>
      <c r="AX176" s="166"/>
      <c r="AY176" s="166"/>
      <c r="AZ176" s="166"/>
      <c r="BA176" s="166"/>
      <c r="BB176" s="166"/>
      <c r="BC176" s="166"/>
      <c r="BD176" s="166"/>
      <c r="BE176" s="166"/>
      <c r="BF176" s="166"/>
      <c r="BG176" s="166"/>
      <c r="BH176" s="166"/>
      <c r="BI176" s="166"/>
      <c r="BJ176" s="166"/>
      <c r="BK176" s="166"/>
      <c r="BL176" s="166"/>
      <c r="BM176" s="166"/>
      <c r="BN176" s="166"/>
      <c r="BO176" s="166"/>
      <c r="BP176" s="166"/>
      <c r="BQ176" s="166"/>
      <c r="BR176" s="166"/>
      <c r="BS176" s="166"/>
    </row>
    <row r="177" spans="20:71" x14ac:dyDescent="0.3">
      <c r="T177" s="167"/>
      <c r="U177" s="167"/>
      <c r="V177" s="167"/>
      <c r="W177" s="167"/>
      <c r="X177" s="166"/>
      <c r="Y177" s="166"/>
      <c r="Z177" s="166"/>
      <c r="AA177" s="166"/>
      <c r="AB177" s="166"/>
      <c r="AC177" s="166">
        <v>2</v>
      </c>
      <c r="AD177" s="166" t="s">
        <v>348</v>
      </c>
      <c r="AE177" s="166"/>
      <c r="AF177" s="166"/>
      <c r="AG177" s="166"/>
      <c r="AH177" s="166"/>
      <c r="AI177" s="166">
        <v>2</v>
      </c>
      <c r="AJ177" s="166"/>
      <c r="AK177" s="166"/>
      <c r="AL177" s="166"/>
      <c r="AM177" s="166"/>
      <c r="AN177" s="166"/>
      <c r="AO177" s="166"/>
      <c r="AP177" s="166"/>
      <c r="AQ177" s="166"/>
      <c r="AR177" s="166"/>
      <c r="AS177" s="166"/>
      <c r="AT177" s="166"/>
      <c r="AU177" s="166"/>
      <c r="AV177" s="166"/>
      <c r="AW177" s="166"/>
      <c r="AX177" s="166"/>
      <c r="AY177" s="166"/>
      <c r="AZ177" s="166"/>
      <c r="BA177" s="166"/>
      <c r="BB177" s="166"/>
      <c r="BC177" s="166"/>
      <c r="BD177" s="166"/>
      <c r="BE177" s="166"/>
      <c r="BF177" s="166"/>
      <c r="BG177" s="166"/>
      <c r="BH177" s="166"/>
      <c r="BI177" s="166"/>
      <c r="BJ177" s="166"/>
      <c r="BK177" s="166"/>
      <c r="BL177" s="166"/>
      <c r="BM177" s="166"/>
      <c r="BN177" s="166"/>
      <c r="BO177" s="166"/>
      <c r="BP177" s="166"/>
      <c r="BQ177" s="166"/>
      <c r="BR177" s="166"/>
      <c r="BS177" s="166"/>
    </row>
    <row r="178" spans="20:71" x14ac:dyDescent="0.3">
      <c r="T178" s="167"/>
      <c r="U178" s="167"/>
      <c r="V178" s="167"/>
      <c r="W178" s="167"/>
      <c r="X178" s="166"/>
      <c r="Y178" s="166"/>
      <c r="Z178" s="166"/>
      <c r="AA178" s="166"/>
      <c r="AB178" s="166"/>
      <c r="AC178" s="166">
        <v>3</v>
      </c>
      <c r="AD178" s="166" t="s">
        <v>348</v>
      </c>
      <c r="AE178" s="166"/>
      <c r="AF178" s="166"/>
      <c r="AG178" s="166"/>
      <c r="AH178" s="166"/>
      <c r="AI178" s="166">
        <v>3</v>
      </c>
      <c r="AJ178" s="166"/>
      <c r="AK178" s="166"/>
      <c r="AL178" s="166"/>
      <c r="AM178" s="166"/>
      <c r="AN178" s="166"/>
      <c r="AO178" s="166"/>
      <c r="AP178" s="166"/>
      <c r="AQ178" s="166"/>
      <c r="AR178" s="166"/>
      <c r="AS178" s="166"/>
      <c r="AT178" s="166"/>
      <c r="AU178" s="166"/>
      <c r="AV178" s="166"/>
      <c r="AW178" s="166"/>
      <c r="AX178" s="166"/>
      <c r="AY178" s="166"/>
      <c r="AZ178" s="166"/>
      <c r="BA178" s="166"/>
      <c r="BB178" s="166"/>
      <c r="BC178" s="166"/>
      <c r="BD178" s="166"/>
      <c r="BE178" s="166"/>
      <c r="BF178" s="166"/>
      <c r="BG178" s="166"/>
      <c r="BH178" s="166"/>
      <c r="BI178" s="166"/>
      <c r="BJ178" s="166"/>
      <c r="BK178" s="166"/>
      <c r="BL178" s="166"/>
      <c r="BM178" s="166"/>
      <c r="BN178" s="166"/>
      <c r="BO178" s="166"/>
      <c r="BP178" s="166"/>
      <c r="BQ178" s="166"/>
      <c r="BR178" s="166"/>
      <c r="BS178" s="166"/>
    </row>
    <row r="179" spans="20:71" x14ac:dyDescent="0.3">
      <c r="T179" s="167"/>
      <c r="U179" s="167"/>
      <c r="V179" s="167"/>
      <c r="W179" s="167"/>
      <c r="X179" s="166"/>
      <c r="Y179" s="166"/>
      <c r="Z179" s="166"/>
      <c r="AA179" s="166"/>
      <c r="AB179" s="166"/>
      <c r="AC179" s="166">
        <v>4</v>
      </c>
      <c r="AD179" s="166" t="s">
        <v>348</v>
      </c>
      <c r="AE179" s="166"/>
      <c r="AF179" s="166"/>
      <c r="AG179" s="166"/>
      <c r="AH179" s="166"/>
      <c r="AI179" s="166">
        <v>4</v>
      </c>
      <c r="AJ179" s="166"/>
      <c r="AK179" s="166"/>
      <c r="AL179" s="166"/>
      <c r="AM179" s="166"/>
      <c r="AN179" s="166"/>
      <c r="AO179" s="166"/>
      <c r="AP179" s="166"/>
      <c r="AQ179" s="166"/>
      <c r="AR179" s="166"/>
      <c r="AS179" s="166"/>
      <c r="AT179" s="166"/>
      <c r="AU179" s="166"/>
      <c r="AV179" s="166"/>
      <c r="AW179" s="166"/>
      <c r="AX179" s="166"/>
      <c r="AY179" s="166"/>
      <c r="AZ179" s="166"/>
      <c r="BA179" s="166"/>
      <c r="BB179" s="166"/>
      <c r="BC179" s="166"/>
      <c r="BD179" s="166"/>
      <c r="BE179" s="166"/>
      <c r="BF179" s="166"/>
      <c r="BG179" s="166"/>
      <c r="BH179" s="166"/>
      <c r="BI179" s="166"/>
      <c r="BJ179" s="166"/>
      <c r="BK179" s="166"/>
      <c r="BL179" s="166"/>
      <c r="BM179" s="166"/>
      <c r="BN179" s="166"/>
      <c r="BO179" s="166"/>
      <c r="BP179" s="166"/>
      <c r="BQ179" s="166"/>
      <c r="BR179" s="166"/>
      <c r="BS179" s="166"/>
    </row>
    <row r="180" spans="20:71" x14ac:dyDescent="0.3">
      <c r="T180" s="167"/>
      <c r="U180" s="167"/>
      <c r="V180" s="167"/>
      <c r="W180" s="167"/>
      <c r="X180" s="166"/>
      <c r="Y180" s="166"/>
      <c r="Z180" s="166"/>
      <c r="AA180" s="166"/>
      <c r="AB180" s="166"/>
      <c r="AC180" s="166">
        <v>5</v>
      </c>
      <c r="AD180" s="166" t="s">
        <v>348</v>
      </c>
      <c r="AE180" s="166"/>
      <c r="AF180" s="166"/>
      <c r="AG180" s="166"/>
      <c r="AH180" s="166"/>
      <c r="AI180" s="166">
        <v>5</v>
      </c>
      <c r="AJ180" s="166"/>
      <c r="AK180" s="166"/>
      <c r="AL180" s="166"/>
      <c r="AM180" s="166"/>
      <c r="AN180" s="166"/>
      <c r="AO180" s="166"/>
      <c r="AP180" s="166"/>
      <c r="AQ180" s="166"/>
      <c r="AR180" s="166"/>
      <c r="AS180" s="166"/>
      <c r="AT180" s="166"/>
      <c r="AU180" s="166"/>
      <c r="AV180" s="166"/>
      <c r="AW180" s="166"/>
      <c r="AX180" s="166"/>
      <c r="AY180" s="166"/>
      <c r="AZ180" s="166"/>
      <c r="BA180" s="166"/>
      <c r="BB180" s="166"/>
      <c r="BC180" s="166"/>
      <c r="BD180" s="166"/>
      <c r="BE180" s="166"/>
      <c r="BF180" s="166"/>
      <c r="BG180" s="166"/>
      <c r="BH180" s="166"/>
      <c r="BI180" s="166"/>
      <c r="BJ180" s="166"/>
      <c r="BK180" s="166"/>
      <c r="BL180" s="166"/>
      <c r="BM180" s="166"/>
      <c r="BN180" s="166"/>
      <c r="BO180" s="166"/>
      <c r="BP180" s="166"/>
      <c r="BQ180" s="166"/>
      <c r="BR180" s="166"/>
      <c r="BS180" s="166"/>
    </row>
    <row r="181" spans="20:71" x14ac:dyDescent="0.3">
      <c r="T181" s="167"/>
      <c r="U181" s="167"/>
      <c r="V181" s="167"/>
      <c r="W181" s="167"/>
      <c r="X181" s="166"/>
      <c r="Y181" s="166"/>
      <c r="Z181" s="166"/>
      <c r="AA181" s="166"/>
      <c r="AB181" s="166"/>
      <c r="AC181" s="166">
        <v>6</v>
      </c>
      <c r="AD181" s="166" t="s">
        <v>348</v>
      </c>
      <c r="AE181" s="166"/>
      <c r="AF181" s="166"/>
      <c r="AG181" s="166"/>
      <c r="AH181" s="166"/>
      <c r="AI181" s="166">
        <v>6</v>
      </c>
      <c r="AJ181" s="166"/>
      <c r="AK181" s="166"/>
      <c r="AL181" s="166"/>
      <c r="AM181" s="166"/>
      <c r="AN181" s="166"/>
      <c r="AO181" s="166"/>
      <c r="AP181" s="166"/>
      <c r="AQ181" s="166"/>
      <c r="AR181" s="166"/>
      <c r="AS181" s="166"/>
      <c r="AT181" s="166"/>
      <c r="AU181" s="166"/>
      <c r="AV181" s="166"/>
      <c r="AW181" s="166"/>
      <c r="AX181" s="166"/>
      <c r="AY181" s="166"/>
      <c r="AZ181" s="166"/>
      <c r="BA181" s="166"/>
      <c r="BB181" s="166"/>
      <c r="BC181" s="166"/>
      <c r="BD181" s="166"/>
      <c r="BE181" s="166"/>
      <c r="BF181" s="166"/>
      <c r="BG181" s="166"/>
      <c r="BH181" s="166"/>
      <c r="BI181" s="166"/>
      <c r="BJ181" s="166"/>
      <c r="BK181" s="166"/>
      <c r="BL181" s="166"/>
      <c r="BM181" s="166"/>
      <c r="BN181" s="166"/>
      <c r="BO181" s="166"/>
      <c r="BP181" s="166"/>
      <c r="BQ181" s="166"/>
      <c r="BR181" s="166"/>
      <c r="BS181" s="166"/>
    </row>
    <row r="182" spans="20:71" x14ac:dyDescent="0.3">
      <c r="T182" s="167"/>
      <c r="U182" s="167"/>
      <c r="V182" s="167"/>
      <c r="W182" s="167"/>
      <c r="X182" s="166"/>
      <c r="Y182" s="166"/>
      <c r="Z182" s="166"/>
      <c r="AA182" s="166"/>
      <c r="AB182" s="166"/>
      <c r="AC182" s="166">
        <v>7</v>
      </c>
      <c r="AD182" s="166" t="s">
        <v>348</v>
      </c>
      <c r="AE182" s="166"/>
      <c r="AF182" s="166"/>
      <c r="AG182" s="166"/>
      <c r="AH182" s="166"/>
      <c r="AI182" s="166">
        <v>7</v>
      </c>
      <c r="AJ182" s="166"/>
      <c r="AK182" s="166"/>
      <c r="AL182" s="166"/>
      <c r="AM182" s="166"/>
      <c r="AN182" s="166"/>
      <c r="AO182" s="166"/>
      <c r="AP182" s="166"/>
      <c r="AQ182" s="166"/>
      <c r="AR182" s="166"/>
      <c r="AS182" s="166"/>
      <c r="AT182" s="166"/>
      <c r="AU182" s="166"/>
      <c r="AV182" s="166"/>
      <c r="AW182" s="166"/>
      <c r="AX182" s="166"/>
      <c r="AY182" s="166"/>
      <c r="AZ182" s="166"/>
      <c r="BA182" s="166"/>
      <c r="BB182" s="166"/>
      <c r="BC182" s="166"/>
      <c r="BD182" s="166"/>
      <c r="BE182" s="166"/>
      <c r="BF182" s="166"/>
      <c r="BG182" s="166"/>
      <c r="BH182" s="166"/>
      <c r="BI182" s="166"/>
      <c r="BJ182" s="166"/>
      <c r="BK182" s="166"/>
      <c r="BL182" s="166"/>
      <c r="BM182" s="166"/>
      <c r="BN182" s="166"/>
      <c r="BO182" s="166"/>
      <c r="BP182" s="166"/>
      <c r="BQ182" s="166"/>
      <c r="BR182" s="166"/>
      <c r="BS182" s="166"/>
    </row>
    <row r="183" spans="20:71" x14ac:dyDescent="0.3">
      <c r="T183" s="167"/>
      <c r="U183" s="167"/>
      <c r="V183" s="167"/>
      <c r="W183" s="167"/>
      <c r="X183" s="166"/>
      <c r="Y183" s="166"/>
      <c r="Z183" s="166"/>
      <c r="AA183" s="166"/>
      <c r="AB183" s="166"/>
      <c r="AC183" s="166">
        <v>8</v>
      </c>
      <c r="AD183" s="166" t="s">
        <v>348</v>
      </c>
      <c r="AE183" s="166"/>
      <c r="AF183" s="166"/>
      <c r="AG183" s="166"/>
      <c r="AH183" s="166"/>
      <c r="AI183" s="166">
        <v>8</v>
      </c>
      <c r="AJ183" s="166"/>
      <c r="AK183" s="166"/>
      <c r="AL183" s="166"/>
      <c r="AM183" s="166"/>
      <c r="AN183" s="166"/>
      <c r="AO183" s="166"/>
      <c r="AP183" s="166"/>
      <c r="AQ183" s="166"/>
      <c r="AR183" s="166"/>
      <c r="AS183" s="166"/>
      <c r="AT183" s="166"/>
      <c r="AU183" s="166"/>
      <c r="AV183" s="166"/>
      <c r="AW183" s="166"/>
      <c r="AX183" s="166"/>
      <c r="AY183" s="166"/>
      <c r="AZ183" s="166"/>
      <c r="BA183" s="166"/>
      <c r="BB183" s="166"/>
      <c r="BC183" s="166"/>
      <c r="BD183" s="166"/>
      <c r="BE183" s="166"/>
      <c r="BF183" s="166"/>
      <c r="BG183" s="166"/>
      <c r="BH183" s="166"/>
      <c r="BI183" s="166"/>
      <c r="BJ183" s="166"/>
      <c r="BK183" s="166"/>
      <c r="BL183" s="166"/>
      <c r="BM183" s="166"/>
      <c r="BN183" s="166"/>
      <c r="BO183" s="166"/>
      <c r="BP183" s="166"/>
      <c r="BQ183" s="166"/>
      <c r="BR183" s="166"/>
      <c r="BS183" s="166"/>
    </row>
    <row r="184" spans="20:71" x14ac:dyDescent="0.3">
      <c r="T184" s="167"/>
      <c r="U184" s="167"/>
      <c r="V184" s="167"/>
      <c r="W184" s="167"/>
      <c r="X184" s="166"/>
      <c r="Y184" s="166"/>
      <c r="Z184" s="166"/>
      <c r="AA184" s="166"/>
      <c r="AB184" s="166"/>
      <c r="AC184" s="166">
        <v>9</v>
      </c>
      <c r="AD184" s="166" t="s">
        <v>348</v>
      </c>
      <c r="AE184" s="166"/>
      <c r="AF184" s="166"/>
      <c r="AG184" s="166"/>
      <c r="AH184" s="166"/>
      <c r="AI184" s="166">
        <v>9</v>
      </c>
      <c r="AJ184" s="166"/>
      <c r="AK184" s="166"/>
      <c r="AL184" s="166"/>
      <c r="AM184" s="166"/>
      <c r="AN184" s="166"/>
      <c r="AO184" s="166"/>
      <c r="AP184" s="166"/>
      <c r="AQ184" s="166"/>
      <c r="AR184" s="166"/>
      <c r="AS184" s="166"/>
      <c r="AT184" s="166"/>
      <c r="AU184" s="166"/>
      <c r="AV184" s="166"/>
      <c r="AW184" s="166"/>
      <c r="AX184" s="166"/>
      <c r="AY184" s="166"/>
      <c r="AZ184" s="166"/>
      <c r="BA184" s="166"/>
      <c r="BB184" s="166"/>
      <c r="BC184" s="166"/>
      <c r="BD184" s="166"/>
      <c r="BE184" s="166"/>
      <c r="BF184" s="166"/>
      <c r="BG184" s="166"/>
      <c r="BH184" s="166"/>
      <c r="BI184" s="166"/>
      <c r="BJ184" s="166"/>
      <c r="BK184" s="166"/>
      <c r="BL184" s="166"/>
      <c r="BM184" s="166"/>
      <c r="BN184" s="166"/>
      <c r="BO184" s="166"/>
      <c r="BP184" s="166"/>
      <c r="BQ184" s="166"/>
      <c r="BR184" s="166"/>
      <c r="BS184" s="166"/>
    </row>
    <row r="185" spans="20:71" x14ac:dyDescent="0.3">
      <c r="T185" s="167"/>
      <c r="U185" s="167"/>
      <c r="V185" s="167"/>
      <c r="W185" s="167"/>
      <c r="X185" s="166"/>
      <c r="Y185" s="166"/>
      <c r="Z185" s="166"/>
      <c r="AA185" s="166"/>
      <c r="AB185" s="166"/>
      <c r="AC185" s="166">
        <v>10</v>
      </c>
      <c r="AD185" s="166" t="s">
        <v>348</v>
      </c>
      <c r="AE185" s="166"/>
      <c r="AF185" s="166"/>
      <c r="AG185" s="166"/>
      <c r="AH185" s="166"/>
      <c r="AI185" s="166">
        <v>10</v>
      </c>
      <c r="AJ185" s="166"/>
      <c r="AK185" s="166"/>
      <c r="AL185" s="166"/>
      <c r="AM185" s="166"/>
      <c r="AN185" s="166"/>
      <c r="AO185" s="166"/>
      <c r="AP185" s="166"/>
      <c r="AQ185" s="166"/>
      <c r="AR185" s="166"/>
      <c r="AS185" s="166"/>
      <c r="AT185" s="166"/>
      <c r="AU185" s="166"/>
      <c r="AV185" s="166"/>
      <c r="AW185" s="166"/>
      <c r="AX185" s="166"/>
      <c r="AY185" s="166"/>
      <c r="AZ185" s="166"/>
      <c r="BA185" s="166"/>
      <c r="BB185" s="166"/>
      <c r="BC185" s="166"/>
      <c r="BD185" s="166"/>
      <c r="BE185" s="166"/>
      <c r="BF185" s="166"/>
      <c r="BG185" s="166"/>
      <c r="BH185" s="166"/>
      <c r="BI185" s="166"/>
      <c r="BJ185" s="166"/>
      <c r="BK185" s="166"/>
      <c r="BL185" s="166"/>
      <c r="BM185" s="166"/>
      <c r="BN185" s="166"/>
      <c r="BO185" s="166"/>
      <c r="BP185" s="166"/>
      <c r="BQ185" s="166"/>
      <c r="BR185" s="166"/>
      <c r="BS185" s="166"/>
    </row>
    <row r="186" spans="20:71" x14ac:dyDescent="0.3">
      <c r="T186" s="167"/>
      <c r="U186" s="167"/>
      <c r="V186" s="167"/>
      <c r="W186" s="167"/>
      <c r="X186" s="166"/>
      <c r="Y186" s="166"/>
      <c r="Z186" s="166"/>
      <c r="AA186" s="166"/>
      <c r="AB186" s="166"/>
      <c r="AC186" s="166">
        <v>11</v>
      </c>
      <c r="AD186" s="166" t="s">
        <v>348</v>
      </c>
      <c r="AE186" s="166"/>
      <c r="AF186" s="166"/>
      <c r="AG186" s="166"/>
      <c r="AH186" s="166"/>
      <c r="AI186" s="166">
        <v>11</v>
      </c>
      <c r="AJ186" s="166"/>
      <c r="AK186" s="166"/>
      <c r="AL186" s="166"/>
      <c r="AM186" s="166"/>
      <c r="AN186" s="166"/>
      <c r="AO186" s="166"/>
      <c r="AP186" s="166"/>
      <c r="AQ186" s="166"/>
      <c r="AR186" s="166"/>
      <c r="AS186" s="166"/>
      <c r="AT186" s="166"/>
      <c r="AU186" s="166"/>
      <c r="AV186" s="166"/>
      <c r="AW186" s="166"/>
      <c r="AX186" s="166"/>
      <c r="AY186" s="166"/>
      <c r="AZ186" s="166"/>
      <c r="BA186" s="166"/>
      <c r="BB186" s="166"/>
      <c r="BC186" s="166"/>
      <c r="BD186" s="166"/>
      <c r="BE186" s="166"/>
      <c r="BF186" s="166"/>
      <c r="BG186" s="166"/>
      <c r="BH186" s="166"/>
      <c r="BI186" s="166"/>
      <c r="BJ186" s="166"/>
      <c r="BK186" s="166"/>
      <c r="BL186" s="166"/>
      <c r="BM186" s="166"/>
      <c r="BN186" s="166"/>
      <c r="BO186" s="166"/>
      <c r="BP186" s="166"/>
      <c r="BQ186" s="166"/>
      <c r="BR186" s="166"/>
      <c r="BS186" s="166"/>
    </row>
    <row r="187" spans="20:71" x14ac:dyDescent="0.3">
      <c r="T187" s="167"/>
      <c r="U187" s="167"/>
      <c r="V187" s="167"/>
      <c r="W187" s="167"/>
      <c r="X187" s="166"/>
      <c r="Y187" s="166"/>
      <c r="Z187" s="166"/>
      <c r="AA187" s="166"/>
      <c r="AB187" s="166"/>
      <c r="AC187" s="166">
        <v>12</v>
      </c>
      <c r="AD187" s="166" t="s">
        <v>348</v>
      </c>
      <c r="AE187" s="166"/>
      <c r="AF187" s="166"/>
      <c r="AG187" s="166"/>
      <c r="AH187" s="166"/>
      <c r="AI187" s="166">
        <v>12</v>
      </c>
      <c r="AJ187" s="166"/>
      <c r="AK187" s="166"/>
      <c r="AL187" s="166"/>
      <c r="AM187" s="166"/>
      <c r="AN187" s="166"/>
      <c r="AO187" s="166"/>
      <c r="AP187" s="166"/>
      <c r="AQ187" s="166"/>
      <c r="AR187" s="166"/>
      <c r="AS187" s="166"/>
      <c r="AT187" s="166"/>
      <c r="AU187" s="166"/>
      <c r="AV187" s="166"/>
      <c r="AW187" s="166"/>
      <c r="AX187" s="166"/>
      <c r="AY187" s="166"/>
      <c r="AZ187" s="166"/>
      <c r="BA187" s="166"/>
      <c r="BB187" s="166"/>
      <c r="BC187" s="166"/>
      <c r="BD187" s="166"/>
      <c r="BE187" s="166"/>
      <c r="BF187" s="166"/>
      <c r="BG187" s="166"/>
      <c r="BH187" s="166"/>
      <c r="BI187" s="166"/>
      <c r="BJ187" s="166"/>
      <c r="BK187" s="166"/>
      <c r="BL187" s="166"/>
      <c r="BM187" s="166"/>
      <c r="BN187" s="166"/>
      <c r="BO187" s="166"/>
      <c r="BP187" s="166"/>
      <c r="BQ187" s="166"/>
      <c r="BR187" s="166"/>
      <c r="BS187" s="166"/>
    </row>
    <row r="188" spans="20:71" x14ac:dyDescent="0.3">
      <c r="T188" s="167"/>
      <c r="U188" s="167"/>
      <c r="V188" s="167"/>
      <c r="W188" s="167"/>
      <c r="X188" s="166"/>
      <c r="Y188" s="166"/>
      <c r="Z188" s="166"/>
      <c r="AA188" s="166"/>
      <c r="AB188" s="166"/>
      <c r="AC188" s="166">
        <v>13</v>
      </c>
      <c r="AD188" s="166" t="s">
        <v>348</v>
      </c>
      <c r="AE188" s="166"/>
      <c r="AF188" s="166"/>
      <c r="AG188" s="166"/>
      <c r="AH188" s="166"/>
      <c r="AI188" s="166">
        <v>13</v>
      </c>
      <c r="AJ188" s="166"/>
      <c r="AK188" s="166"/>
      <c r="AL188" s="166"/>
      <c r="AM188" s="166"/>
      <c r="AN188" s="166"/>
      <c r="AO188" s="166"/>
      <c r="AP188" s="166"/>
      <c r="AQ188" s="166"/>
      <c r="AR188" s="166"/>
      <c r="AS188" s="166"/>
      <c r="AT188" s="166"/>
      <c r="AU188" s="166"/>
      <c r="AV188" s="166"/>
      <c r="AW188" s="166"/>
      <c r="AX188" s="166"/>
      <c r="AY188" s="166"/>
      <c r="AZ188" s="166"/>
      <c r="BA188" s="166"/>
      <c r="BB188" s="166"/>
      <c r="BC188" s="166"/>
      <c r="BD188" s="166"/>
      <c r="BE188" s="166"/>
      <c r="BF188" s="166"/>
      <c r="BG188" s="166"/>
      <c r="BH188" s="166"/>
      <c r="BI188" s="166"/>
      <c r="BJ188" s="166"/>
      <c r="BK188" s="166"/>
      <c r="BL188" s="166"/>
      <c r="BM188" s="166"/>
      <c r="BN188" s="166"/>
      <c r="BO188" s="166"/>
      <c r="BP188" s="166"/>
      <c r="BQ188" s="166"/>
      <c r="BR188" s="166"/>
      <c r="BS188" s="166"/>
    </row>
    <row r="189" spans="20:71" x14ac:dyDescent="0.3">
      <c r="T189" s="167"/>
      <c r="U189" s="167"/>
      <c r="V189" s="167"/>
      <c r="W189" s="167"/>
      <c r="X189" s="166"/>
      <c r="Y189" s="166"/>
      <c r="Z189" s="166"/>
      <c r="AA189" s="166"/>
      <c r="AB189" s="166"/>
      <c r="AC189" s="166">
        <v>14</v>
      </c>
      <c r="AD189" s="166" t="s">
        <v>348</v>
      </c>
      <c r="AE189" s="166"/>
      <c r="AF189" s="166"/>
      <c r="AG189" s="166"/>
      <c r="AH189" s="166"/>
      <c r="AI189" s="166">
        <v>14</v>
      </c>
      <c r="AJ189" s="166"/>
      <c r="AK189" s="166"/>
      <c r="AL189" s="166"/>
      <c r="AM189" s="166"/>
      <c r="AN189" s="166"/>
      <c r="AO189" s="166"/>
      <c r="AP189" s="166"/>
      <c r="AQ189" s="166"/>
      <c r="AR189" s="166"/>
      <c r="AS189" s="166"/>
      <c r="AT189" s="166"/>
      <c r="AU189" s="166"/>
      <c r="AV189" s="166"/>
      <c r="AW189" s="166"/>
      <c r="AX189" s="166"/>
      <c r="AY189" s="166"/>
      <c r="AZ189" s="166"/>
      <c r="BA189" s="166"/>
      <c r="BB189" s="166"/>
      <c r="BC189" s="166"/>
      <c r="BD189" s="166"/>
      <c r="BE189" s="166"/>
      <c r="BF189" s="166"/>
      <c r="BG189" s="166"/>
      <c r="BH189" s="166"/>
      <c r="BI189" s="166"/>
      <c r="BJ189" s="166"/>
      <c r="BK189" s="166"/>
      <c r="BL189" s="166"/>
      <c r="BM189" s="166"/>
      <c r="BN189" s="166"/>
      <c r="BO189" s="166"/>
      <c r="BP189" s="166"/>
      <c r="BQ189" s="166"/>
      <c r="BR189" s="166"/>
      <c r="BS189" s="166"/>
    </row>
    <row r="190" spans="20:71" x14ac:dyDescent="0.3">
      <c r="T190" s="167"/>
      <c r="U190" s="167"/>
      <c r="V190" s="167"/>
      <c r="W190" s="167"/>
      <c r="X190" s="166"/>
      <c r="Y190" s="166"/>
      <c r="Z190" s="166"/>
      <c r="AA190" s="166"/>
      <c r="AB190" s="166"/>
      <c r="AC190" s="166">
        <v>15</v>
      </c>
      <c r="AD190" s="166" t="s">
        <v>348</v>
      </c>
      <c r="AE190" s="166"/>
      <c r="AF190" s="166"/>
      <c r="AG190" s="166"/>
      <c r="AH190" s="166"/>
      <c r="AI190" s="166">
        <v>15</v>
      </c>
      <c r="AJ190" s="166"/>
      <c r="AK190" s="166"/>
      <c r="AL190" s="166"/>
      <c r="AM190" s="166"/>
      <c r="AN190" s="166"/>
      <c r="AO190" s="166"/>
      <c r="AP190" s="166"/>
      <c r="AQ190" s="166"/>
      <c r="AR190" s="166"/>
      <c r="AS190" s="166"/>
      <c r="AT190" s="166"/>
      <c r="AU190" s="166"/>
      <c r="AV190" s="166"/>
      <c r="AW190" s="166"/>
      <c r="AX190" s="166"/>
      <c r="AY190" s="166"/>
      <c r="AZ190" s="166"/>
      <c r="BA190" s="166"/>
      <c r="BB190" s="166"/>
      <c r="BC190" s="166"/>
      <c r="BD190" s="166"/>
      <c r="BE190" s="166"/>
      <c r="BF190" s="166"/>
      <c r="BG190" s="166"/>
      <c r="BH190" s="166"/>
      <c r="BI190" s="166"/>
      <c r="BJ190" s="166"/>
      <c r="BK190" s="166"/>
      <c r="BL190" s="166"/>
      <c r="BM190" s="166"/>
      <c r="BN190" s="166"/>
      <c r="BO190" s="166"/>
      <c r="BP190" s="166"/>
      <c r="BQ190" s="166"/>
      <c r="BR190" s="166"/>
      <c r="BS190" s="166"/>
    </row>
    <row r="191" spans="20:71" ht="17.399999999999999" x14ac:dyDescent="0.3">
      <c r="T191" s="167"/>
      <c r="U191" s="167"/>
      <c r="V191" s="167"/>
      <c r="W191" s="167"/>
      <c r="X191" s="166"/>
      <c r="Y191" s="166"/>
      <c r="Z191" s="166"/>
      <c r="AA191" s="166"/>
      <c r="AB191" s="166"/>
      <c r="AC191" s="166">
        <v>16</v>
      </c>
      <c r="AD191" s="166" t="s">
        <v>348</v>
      </c>
      <c r="AE191" s="166"/>
      <c r="AF191" s="166"/>
      <c r="AG191" s="166"/>
      <c r="AH191" s="166"/>
      <c r="AI191" s="166">
        <v>16</v>
      </c>
      <c r="AJ191" s="687">
        <v>0.33333333333333331</v>
      </c>
      <c r="AK191" s="166"/>
      <c r="AL191" s="166"/>
      <c r="AM191" s="166"/>
      <c r="AN191" s="166"/>
      <c r="AO191" s="166"/>
      <c r="AP191" s="166"/>
      <c r="AQ191" s="166"/>
      <c r="AR191" s="166"/>
      <c r="AS191" s="166"/>
      <c r="AT191" s="166"/>
      <c r="AU191" s="166"/>
      <c r="AV191" s="166"/>
      <c r="AW191" s="166"/>
      <c r="AX191" s="166"/>
      <c r="AY191" s="166"/>
      <c r="AZ191" s="166"/>
      <c r="BA191" s="166"/>
      <c r="BB191" s="166"/>
      <c r="BC191" s="166"/>
      <c r="BD191" s="166"/>
      <c r="BE191" s="166"/>
      <c r="BF191" s="166"/>
      <c r="BG191" s="166"/>
      <c r="BH191" s="166"/>
      <c r="BI191" s="166"/>
      <c r="BJ191" s="166"/>
      <c r="BK191" s="166"/>
      <c r="BL191" s="166"/>
      <c r="BM191" s="166"/>
      <c r="BN191" s="166"/>
      <c r="BO191" s="166"/>
      <c r="BP191" s="166"/>
      <c r="BQ191" s="166"/>
      <c r="BR191" s="166"/>
      <c r="BS191" s="166"/>
    </row>
    <row r="192" spans="20:71" ht="17.399999999999999" x14ac:dyDescent="0.3">
      <c r="T192" s="167"/>
      <c r="U192" s="167"/>
      <c r="V192" s="167"/>
      <c r="W192" s="167"/>
      <c r="X192" s="166"/>
      <c r="Y192" s="166"/>
      <c r="Z192" s="166"/>
      <c r="AA192" s="166"/>
      <c r="AB192" s="166"/>
      <c r="AC192" s="166">
        <v>17</v>
      </c>
      <c r="AD192" s="166" t="s">
        <v>162</v>
      </c>
      <c r="AE192" s="166"/>
      <c r="AF192" s="166"/>
      <c r="AG192" s="166"/>
      <c r="AH192" s="166"/>
      <c r="AI192" s="166">
        <v>17</v>
      </c>
      <c r="AJ192" s="687">
        <v>0.35416666666666669</v>
      </c>
      <c r="AK192" s="166"/>
      <c r="AL192" s="166"/>
      <c r="AM192" s="166"/>
      <c r="AN192" s="166"/>
      <c r="AO192" s="166"/>
      <c r="AP192" s="166"/>
      <c r="AQ192" s="166"/>
      <c r="AR192" s="166"/>
      <c r="AS192" s="166"/>
      <c r="AT192" s="166"/>
      <c r="AU192" s="166"/>
      <c r="AV192" s="166"/>
      <c r="AW192" s="166"/>
      <c r="AX192" s="166"/>
      <c r="AY192" s="166"/>
      <c r="AZ192" s="166"/>
      <c r="BA192" s="166"/>
      <c r="BB192" s="166"/>
      <c r="BC192" s="166"/>
      <c r="BD192" s="166"/>
      <c r="BE192" s="166"/>
      <c r="BF192" s="166"/>
      <c r="BG192" s="166"/>
      <c r="BH192" s="166"/>
      <c r="BI192" s="166"/>
      <c r="BJ192" s="166"/>
      <c r="BK192" s="166"/>
      <c r="BL192" s="166"/>
      <c r="BM192" s="166"/>
      <c r="BN192" s="166"/>
      <c r="BO192" s="166"/>
      <c r="BP192" s="166"/>
      <c r="BQ192" s="166"/>
      <c r="BR192" s="166"/>
      <c r="BS192" s="166"/>
    </row>
    <row r="193" spans="20:71" ht="17.399999999999999" x14ac:dyDescent="0.3">
      <c r="T193" s="167"/>
      <c r="U193" s="167"/>
      <c r="V193" s="167"/>
      <c r="W193" s="167"/>
      <c r="X193" s="166"/>
      <c r="Y193" s="166"/>
      <c r="Z193" s="166"/>
      <c r="AA193" s="166"/>
      <c r="AB193" s="166"/>
      <c r="AC193" s="166">
        <v>18</v>
      </c>
      <c r="AD193" s="166" t="s">
        <v>162</v>
      </c>
      <c r="AE193" s="166"/>
      <c r="AF193" s="166"/>
      <c r="AG193" s="166"/>
      <c r="AH193" s="166"/>
      <c r="AI193" s="166">
        <v>18</v>
      </c>
      <c r="AJ193" s="687"/>
      <c r="AK193" s="166"/>
      <c r="AL193" s="166"/>
      <c r="AM193" s="166"/>
      <c r="AN193" s="166"/>
      <c r="AO193" s="166"/>
      <c r="AP193" s="166"/>
      <c r="AQ193" s="166"/>
      <c r="AR193" s="166"/>
      <c r="AS193" s="166"/>
      <c r="AT193" s="166"/>
      <c r="AU193" s="166"/>
      <c r="AV193" s="166"/>
      <c r="AW193" s="166"/>
      <c r="AX193" s="166"/>
      <c r="AY193" s="166"/>
      <c r="AZ193" s="166"/>
      <c r="BA193" s="166"/>
      <c r="BB193" s="166"/>
      <c r="BC193" s="166"/>
      <c r="BD193" s="166"/>
      <c r="BE193" s="166"/>
      <c r="BF193" s="166"/>
      <c r="BG193" s="166"/>
      <c r="BH193" s="166"/>
      <c r="BI193" s="166"/>
      <c r="BJ193" s="166"/>
      <c r="BK193" s="166"/>
      <c r="BL193" s="166"/>
      <c r="BM193" s="166"/>
      <c r="BN193" s="166"/>
      <c r="BO193" s="166"/>
      <c r="BP193" s="166"/>
      <c r="BQ193" s="166"/>
      <c r="BR193" s="166"/>
      <c r="BS193" s="166"/>
    </row>
    <row r="194" spans="20:71" ht="17.399999999999999" x14ac:dyDescent="0.3">
      <c r="T194" s="167"/>
      <c r="U194" s="167"/>
      <c r="V194" s="167"/>
      <c r="W194" s="167"/>
      <c r="X194" s="166"/>
      <c r="Y194" s="166"/>
      <c r="Z194" s="166"/>
      <c r="AA194" s="166"/>
      <c r="AB194" s="166"/>
      <c r="AC194" s="166">
        <v>19</v>
      </c>
      <c r="AD194" s="166" t="s">
        <v>162</v>
      </c>
      <c r="AE194" s="166"/>
      <c r="AF194" s="166"/>
      <c r="AG194" s="166"/>
      <c r="AH194" s="166"/>
      <c r="AI194" s="166">
        <v>19</v>
      </c>
      <c r="AJ194" s="687"/>
      <c r="AK194" s="166"/>
      <c r="AL194" s="166"/>
      <c r="AM194" s="166"/>
      <c r="AN194" s="166"/>
      <c r="AO194" s="166"/>
      <c r="AP194" s="166"/>
      <c r="AQ194" s="166"/>
      <c r="AR194" s="166"/>
      <c r="AS194" s="166"/>
      <c r="AT194" s="166"/>
      <c r="AU194" s="166"/>
      <c r="AV194" s="166"/>
      <c r="AW194" s="166"/>
      <c r="AX194" s="166"/>
      <c r="AY194" s="166"/>
      <c r="AZ194" s="166"/>
      <c r="BA194" s="166"/>
      <c r="BB194" s="166"/>
      <c r="BC194" s="166"/>
      <c r="BD194" s="166"/>
      <c r="BE194" s="166"/>
      <c r="BF194" s="166"/>
      <c r="BG194" s="166"/>
      <c r="BH194" s="166"/>
      <c r="BI194" s="166"/>
      <c r="BJ194" s="166"/>
      <c r="BK194" s="166"/>
      <c r="BL194" s="166"/>
      <c r="BM194" s="166"/>
      <c r="BN194" s="166"/>
      <c r="BO194" s="166"/>
      <c r="BP194" s="166"/>
      <c r="BQ194" s="166"/>
      <c r="BR194" s="166"/>
      <c r="BS194" s="166"/>
    </row>
    <row r="195" spans="20:71" ht="17.399999999999999" x14ac:dyDescent="0.3">
      <c r="T195" s="167"/>
      <c r="U195" s="167"/>
      <c r="V195" s="167"/>
      <c r="W195" s="167"/>
      <c r="X195" s="166"/>
      <c r="Y195" s="166"/>
      <c r="Z195" s="166"/>
      <c r="AA195" s="166"/>
      <c r="AB195" s="166"/>
      <c r="AC195" s="166">
        <v>20</v>
      </c>
      <c r="AD195" s="166" t="s">
        <v>162</v>
      </c>
      <c r="AE195" s="166"/>
      <c r="AF195" s="166"/>
      <c r="AG195" s="166"/>
      <c r="AH195" s="166"/>
      <c r="AI195" s="166">
        <v>20</v>
      </c>
      <c r="AJ195" s="687"/>
      <c r="AK195" s="166"/>
      <c r="AL195" s="166"/>
      <c r="AM195" s="166"/>
      <c r="AN195" s="166"/>
      <c r="AO195" s="166"/>
      <c r="AP195" s="166"/>
      <c r="AQ195" s="166"/>
      <c r="AR195" s="166"/>
      <c r="AS195" s="166"/>
      <c r="AT195" s="166"/>
      <c r="AU195" s="166"/>
      <c r="AV195" s="166"/>
      <c r="AW195" s="166"/>
      <c r="AX195" s="166"/>
      <c r="AY195" s="166"/>
      <c r="AZ195" s="166"/>
      <c r="BA195" s="166"/>
      <c r="BB195" s="166"/>
      <c r="BC195" s="166"/>
      <c r="BD195" s="166"/>
      <c r="BE195" s="166"/>
      <c r="BF195" s="166"/>
      <c r="BG195" s="166"/>
      <c r="BH195" s="166"/>
      <c r="BI195" s="166"/>
      <c r="BJ195" s="166"/>
      <c r="BK195" s="166"/>
      <c r="BL195" s="166"/>
      <c r="BM195" s="166"/>
      <c r="BN195" s="166"/>
      <c r="BO195" s="166"/>
      <c r="BP195" s="166"/>
      <c r="BQ195" s="166"/>
      <c r="BR195" s="166"/>
      <c r="BS195" s="166"/>
    </row>
    <row r="196" spans="20:71" ht="17.399999999999999" x14ac:dyDescent="0.3">
      <c r="T196" s="167"/>
      <c r="U196" s="167"/>
      <c r="V196" s="167"/>
      <c r="W196" s="167"/>
      <c r="X196" s="166"/>
      <c r="Y196" s="166"/>
      <c r="Z196" s="166"/>
      <c r="AA196" s="166"/>
      <c r="AB196" s="166"/>
      <c r="AC196" s="166">
        <v>21</v>
      </c>
      <c r="AD196" s="166" t="s">
        <v>162</v>
      </c>
      <c r="AE196" s="166"/>
      <c r="AF196" s="166"/>
      <c r="AG196" s="166"/>
      <c r="AH196" s="166"/>
      <c r="AI196" s="166">
        <v>21</v>
      </c>
      <c r="AJ196" s="687"/>
      <c r="AK196" s="166"/>
      <c r="AL196" s="166"/>
      <c r="AM196" s="166"/>
      <c r="AN196" s="166"/>
      <c r="AO196" s="166"/>
      <c r="AP196" s="166"/>
      <c r="AQ196" s="166"/>
      <c r="AR196" s="166"/>
      <c r="AS196" s="166"/>
      <c r="AT196" s="166"/>
      <c r="AU196" s="166"/>
      <c r="AV196" s="166"/>
      <c r="AW196" s="166"/>
      <c r="AX196" s="166"/>
      <c r="AY196" s="166"/>
      <c r="AZ196" s="166"/>
      <c r="BA196" s="166"/>
      <c r="BB196" s="166"/>
      <c r="BC196" s="166"/>
      <c r="BD196" s="166"/>
      <c r="BE196" s="166"/>
      <c r="BF196" s="166"/>
      <c r="BG196" s="166"/>
      <c r="BH196" s="166"/>
      <c r="BI196" s="166"/>
      <c r="BJ196" s="166"/>
      <c r="BK196" s="166"/>
      <c r="BL196" s="166"/>
      <c r="BM196" s="166"/>
      <c r="BN196" s="166"/>
      <c r="BO196" s="166"/>
      <c r="BP196" s="166"/>
      <c r="BQ196" s="166"/>
      <c r="BR196" s="166"/>
      <c r="BS196" s="166"/>
    </row>
    <row r="197" spans="20:71" ht="17.399999999999999" x14ac:dyDescent="0.3">
      <c r="T197" s="167"/>
      <c r="U197" s="167"/>
      <c r="V197" s="167"/>
      <c r="W197" s="167"/>
      <c r="X197" s="166"/>
      <c r="Y197" s="166"/>
      <c r="Z197" s="166"/>
      <c r="AA197" s="166"/>
      <c r="AB197" s="166"/>
      <c r="AC197" s="166">
        <v>22</v>
      </c>
      <c r="AD197" s="166" t="s">
        <v>162</v>
      </c>
      <c r="AE197" s="166"/>
      <c r="AF197" s="166"/>
      <c r="AG197" s="166"/>
      <c r="AH197" s="166"/>
      <c r="AI197" s="166">
        <v>22</v>
      </c>
      <c r="AJ197" s="687"/>
      <c r="AK197" s="166"/>
      <c r="AL197" s="166"/>
      <c r="AM197" s="166"/>
      <c r="AN197" s="166"/>
      <c r="AO197" s="166"/>
      <c r="AP197" s="166"/>
      <c r="AQ197" s="166"/>
      <c r="AR197" s="166"/>
      <c r="AS197" s="166"/>
      <c r="AT197" s="166"/>
      <c r="AU197" s="166"/>
      <c r="AV197" s="166"/>
      <c r="AW197" s="166"/>
      <c r="AX197" s="166"/>
      <c r="AY197" s="166"/>
      <c r="AZ197" s="166"/>
      <c r="BA197" s="166"/>
      <c r="BB197" s="166"/>
      <c r="BC197" s="166"/>
      <c r="BD197" s="166"/>
      <c r="BE197" s="166"/>
      <c r="BF197" s="166"/>
      <c r="BG197" s="166"/>
      <c r="BH197" s="166"/>
      <c r="BI197" s="166"/>
      <c r="BJ197" s="166"/>
      <c r="BK197" s="166"/>
      <c r="BL197" s="166"/>
      <c r="BM197" s="166"/>
      <c r="BN197" s="166"/>
      <c r="BO197" s="166"/>
      <c r="BP197" s="166"/>
      <c r="BQ197" s="166"/>
      <c r="BR197" s="166"/>
      <c r="BS197" s="166"/>
    </row>
    <row r="198" spans="20:71" ht="17.399999999999999" x14ac:dyDescent="0.3">
      <c r="T198" s="167"/>
      <c r="U198" s="167"/>
      <c r="V198" s="167"/>
      <c r="W198" s="167"/>
      <c r="X198" s="166"/>
      <c r="Y198" s="166"/>
      <c r="Z198" s="166"/>
      <c r="AA198" s="166"/>
      <c r="AB198" s="166"/>
      <c r="AC198" s="166">
        <v>23</v>
      </c>
      <c r="AD198" s="166" t="s">
        <v>162</v>
      </c>
      <c r="AE198" s="166"/>
      <c r="AF198" s="166"/>
      <c r="AG198" s="166"/>
      <c r="AH198" s="166"/>
      <c r="AI198" s="166">
        <v>23</v>
      </c>
      <c r="AJ198" s="687"/>
      <c r="AK198" s="166"/>
      <c r="AL198" s="166"/>
      <c r="AM198" s="166"/>
      <c r="AN198" s="166"/>
      <c r="AO198" s="166"/>
      <c r="AP198" s="166"/>
      <c r="AQ198" s="166"/>
      <c r="AR198" s="166"/>
      <c r="AS198" s="166"/>
      <c r="AT198" s="166"/>
      <c r="AU198" s="166"/>
      <c r="AV198" s="166"/>
      <c r="AW198" s="166"/>
      <c r="AX198" s="166"/>
      <c r="AY198" s="166"/>
      <c r="AZ198" s="166"/>
      <c r="BA198" s="166"/>
      <c r="BB198" s="166"/>
      <c r="BC198" s="166"/>
      <c r="BD198" s="166"/>
      <c r="BE198" s="166"/>
      <c r="BF198" s="166"/>
      <c r="BG198" s="166"/>
      <c r="BH198" s="166"/>
      <c r="BI198" s="166"/>
      <c r="BJ198" s="166"/>
      <c r="BK198" s="166"/>
      <c r="BL198" s="166"/>
      <c r="BM198" s="166"/>
      <c r="BN198" s="166"/>
      <c r="BO198" s="166"/>
      <c r="BP198" s="166"/>
      <c r="BQ198" s="166"/>
      <c r="BR198" s="166"/>
      <c r="BS198" s="166"/>
    </row>
    <row r="199" spans="20:71" ht="17.399999999999999" x14ac:dyDescent="0.3">
      <c r="T199" s="167"/>
      <c r="U199" s="167"/>
      <c r="V199" s="167"/>
      <c r="W199" s="167"/>
      <c r="X199" s="166"/>
      <c r="Y199" s="166"/>
      <c r="Z199" s="166"/>
      <c r="AA199" s="166"/>
      <c r="AB199" s="166"/>
      <c r="AC199" s="166">
        <v>24</v>
      </c>
      <c r="AD199" s="166" t="s">
        <v>162</v>
      </c>
      <c r="AE199" s="166"/>
      <c r="AF199" s="166"/>
      <c r="AG199" s="166"/>
      <c r="AH199" s="166"/>
      <c r="AI199" s="166">
        <v>24</v>
      </c>
      <c r="AJ199" s="687"/>
      <c r="AK199" s="166"/>
      <c r="AL199" s="166"/>
      <c r="AM199" s="166"/>
      <c r="AN199" s="166"/>
      <c r="AO199" s="166"/>
      <c r="AP199" s="166"/>
      <c r="AQ199" s="166"/>
      <c r="AR199" s="166"/>
      <c r="AS199" s="166"/>
      <c r="AT199" s="166"/>
      <c r="AU199" s="166"/>
      <c r="AV199" s="166"/>
      <c r="AW199" s="166"/>
      <c r="AX199" s="166"/>
      <c r="AY199" s="166"/>
      <c r="AZ199" s="166"/>
      <c r="BA199" s="166"/>
      <c r="BB199" s="166"/>
      <c r="BC199" s="166"/>
      <c r="BD199" s="166"/>
      <c r="BE199" s="166"/>
      <c r="BF199" s="166"/>
      <c r="BG199" s="166"/>
      <c r="BH199" s="166"/>
      <c r="BI199" s="166"/>
      <c r="BJ199" s="166"/>
      <c r="BK199" s="166"/>
      <c r="BL199" s="166"/>
      <c r="BM199" s="166"/>
      <c r="BN199" s="166"/>
      <c r="BO199" s="166"/>
      <c r="BP199" s="166"/>
      <c r="BQ199" s="166"/>
      <c r="BR199" s="166"/>
      <c r="BS199" s="166"/>
    </row>
    <row r="200" spans="20:71" ht="17.399999999999999" x14ac:dyDescent="0.3">
      <c r="T200" s="167"/>
      <c r="U200" s="167"/>
      <c r="V200" s="167"/>
      <c r="W200" s="167"/>
      <c r="X200" s="166"/>
      <c r="Y200" s="166"/>
      <c r="Z200" s="166"/>
      <c r="AA200" s="166"/>
      <c r="AB200" s="166"/>
      <c r="AC200" s="166">
        <v>25</v>
      </c>
      <c r="AD200" s="166" t="s">
        <v>162</v>
      </c>
      <c r="AE200" s="166"/>
      <c r="AF200" s="166"/>
      <c r="AG200" s="166"/>
      <c r="AH200" s="166"/>
      <c r="AI200" s="166">
        <v>25</v>
      </c>
      <c r="AJ200" s="687"/>
      <c r="AK200" s="166"/>
      <c r="AL200" s="166"/>
      <c r="AM200" s="166"/>
      <c r="AN200" s="166"/>
      <c r="AO200" s="166"/>
      <c r="AP200" s="166"/>
      <c r="AQ200" s="166"/>
      <c r="AR200" s="166"/>
      <c r="AS200" s="166"/>
      <c r="AT200" s="166"/>
      <c r="AU200" s="166"/>
      <c r="AV200" s="166"/>
      <c r="AW200" s="166"/>
      <c r="AX200" s="166"/>
      <c r="AY200" s="166"/>
      <c r="AZ200" s="166"/>
      <c r="BA200" s="166"/>
      <c r="BB200" s="166"/>
      <c r="BC200" s="166"/>
      <c r="BD200" s="166"/>
      <c r="BE200" s="166"/>
      <c r="BF200" s="166"/>
      <c r="BG200" s="166"/>
      <c r="BH200" s="166"/>
      <c r="BI200" s="166"/>
      <c r="BJ200" s="166"/>
      <c r="BK200" s="166"/>
      <c r="BL200" s="166"/>
      <c r="BM200" s="166"/>
      <c r="BN200" s="166"/>
      <c r="BO200" s="166"/>
      <c r="BP200" s="166"/>
      <c r="BQ200" s="166"/>
      <c r="BR200" s="166"/>
      <c r="BS200" s="166"/>
    </row>
    <row r="201" spans="20:71" ht="17.399999999999999" x14ac:dyDescent="0.3">
      <c r="T201" s="167"/>
      <c r="U201" s="167"/>
      <c r="V201" s="167"/>
      <c r="W201" s="167"/>
      <c r="X201" s="166"/>
      <c r="Y201" s="166"/>
      <c r="Z201" s="166"/>
      <c r="AA201" s="166"/>
      <c r="AB201" s="166"/>
      <c r="AC201" s="166">
        <v>26</v>
      </c>
      <c r="AD201" s="166" t="s">
        <v>162</v>
      </c>
      <c r="AE201" s="166"/>
      <c r="AF201" s="166"/>
      <c r="AG201" s="166"/>
      <c r="AH201" s="166"/>
      <c r="AI201" s="166">
        <v>26</v>
      </c>
      <c r="AJ201" s="687">
        <v>0.54166666666666663</v>
      </c>
      <c r="AK201" s="166"/>
      <c r="AL201" s="166"/>
      <c r="AM201" s="166"/>
      <c r="AN201" s="166"/>
      <c r="AO201" s="166"/>
      <c r="AP201" s="166"/>
      <c r="AQ201" s="166"/>
      <c r="AR201" s="166"/>
      <c r="AS201" s="166"/>
      <c r="AT201" s="166"/>
      <c r="AU201" s="166"/>
      <c r="AV201" s="166"/>
      <c r="AW201" s="166"/>
      <c r="AX201" s="166"/>
      <c r="AY201" s="166"/>
      <c r="AZ201" s="166"/>
      <c r="BA201" s="166"/>
      <c r="BB201" s="166"/>
      <c r="BC201" s="166"/>
      <c r="BD201" s="166"/>
      <c r="BE201" s="166"/>
      <c r="BF201" s="166"/>
      <c r="BG201" s="166"/>
      <c r="BH201" s="166"/>
      <c r="BI201" s="166"/>
      <c r="BJ201" s="166"/>
      <c r="BK201" s="166"/>
      <c r="BL201" s="166"/>
      <c r="BM201" s="166"/>
      <c r="BN201" s="166"/>
      <c r="BO201" s="166"/>
      <c r="BP201" s="166"/>
      <c r="BQ201" s="166"/>
      <c r="BR201" s="166"/>
      <c r="BS201" s="166"/>
    </row>
    <row r="202" spans="20:71" ht="17.399999999999999" x14ac:dyDescent="0.3">
      <c r="T202" s="167"/>
      <c r="U202" s="167"/>
      <c r="V202" s="167"/>
      <c r="W202" s="167"/>
      <c r="X202" s="166"/>
      <c r="Y202" s="166"/>
      <c r="Z202" s="166"/>
      <c r="AA202" s="166"/>
      <c r="AB202" s="166"/>
      <c r="AC202" s="166">
        <v>27</v>
      </c>
      <c r="AD202" s="166" t="s">
        <v>163</v>
      </c>
      <c r="AE202" s="166"/>
      <c r="AF202" s="166"/>
      <c r="AG202" s="166"/>
      <c r="AH202" s="166"/>
      <c r="AI202" s="166">
        <v>27</v>
      </c>
      <c r="AJ202" s="687">
        <v>0.5625</v>
      </c>
      <c r="AK202" s="166"/>
      <c r="AL202" s="166"/>
      <c r="AM202" s="166"/>
      <c r="AN202" s="166"/>
      <c r="AO202" s="166"/>
      <c r="AP202" s="166"/>
      <c r="AQ202" s="166"/>
      <c r="AR202" s="166"/>
      <c r="AS202" s="166"/>
      <c r="AT202" s="166"/>
      <c r="AU202" s="166"/>
      <c r="AV202" s="166"/>
      <c r="AW202" s="166"/>
      <c r="AX202" s="166"/>
      <c r="AY202" s="166"/>
      <c r="AZ202" s="166"/>
      <c r="BA202" s="166"/>
      <c r="BB202" s="166"/>
      <c r="BC202" s="166"/>
      <c r="BD202" s="166"/>
      <c r="BE202" s="166"/>
      <c r="BF202" s="166"/>
      <c r="BG202" s="166"/>
      <c r="BH202" s="166"/>
      <c r="BI202" s="166"/>
      <c r="BJ202" s="166"/>
      <c r="BK202" s="166"/>
      <c r="BL202" s="166"/>
      <c r="BM202" s="166"/>
      <c r="BN202" s="166"/>
      <c r="BO202" s="166"/>
      <c r="BP202" s="166"/>
      <c r="BQ202" s="166"/>
      <c r="BR202" s="166"/>
      <c r="BS202" s="166"/>
    </row>
    <row r="203" spans="20:71" ht="17.399999999999999" x14ac:dyDescent="0.3">
      <c r="T203" s="167"/>
      <c r="U203" s="167"/>
      <c r="V203" s="167"/>
      <c r="W203" s="167"/>
      <c r="X203" s="166"/>
      <c r="Y203" s="166"/>
      <c r="Z203" s="166"/>
      <c r="AA203" s="166"/>
      <c r="AB203" s="166"/>
      <c r="AC203" s="166">
        <v>28</v>
      </c>
      <c r="AD203" s="166" t="s">
        <v>163</v>
      </c>
      <c r="AE203" s="166"/>
      <c r="AF203" s="166"/>
      <c r="AG203" s="166"/>
      <c r="AH203" s="166"/>
      <c r="AI203" s="166">
        <v>28</v>
      </c>
      <c r="AJ203" s="687"/>
      <c r="AK203" s="166"/>
      <c r="AL203" s="166"/>
      <c r="AM203" s="166"/>
      <c r="AN203" s="166"/>
      <c r="AO203" s="166"/>
      <c r="AP203" s="166"/>
      <c r="AQ203" s="166"/>
      <c r="AR203" s="166"/>
      <c r="AS203" s="166"/>
      <c r="AT203" s="166"/>
      <c r="AU203" s="166"/>
      <c r="AV203" s="166"/>
      <c r="AW203" s="166"/>
      <c r="AX203" s="166"/>
      <c r="AY203" s="166"/>
      <c r="AZ203" s="166"/>
      <c r="BA203" s="166"/>
      <c r="BB203" s="166"/>
      <c r="BC203" s="166"/>
      <c r="BD203" s="166"/>
      <c r="BE203" s="166"/>
      <c r="BF203" s="166"/>
      <c r="BG203" s="166"/>
      <c r="BH203" s="166"/>
      <c r="BI203" s="166"/>
      <c r="BJ203" s="166"/>
      <c r="BK203" s="166"/>
      <c r="BL203" s="166"/>
      <c r="BM203" s="166"/>
      <c r="BN203" s="166"/>
      <c r="BO203" s="166"/>
      <c r="BP203" s="166"/>
      <c r="BQ203" s="166"/>
      <c r="BR203" s="166"/>
      <c r="BS203" s="166"/>
    </row>
    <row r="204" spans="20:71" ht="17.399999999999999" x14ac:dyDescent="0.3">
      <c r="T204" s="167"/>
      <c r="U204" s="167"/>
      <c r="V204" s="167"/>
      <c r="W204" s="167"/>
      <c r="X204" s="166"/>
      <c r="Y204" s="166"/>
      <c r="Z204" s="166"/>
      <c r="AA204" s="166"/>
      <c r="AB204" s="166"/>
      <c r="AC204" s="166">
        <v>29</v>
      </c>
      <c r="AD204" s="166" t="s">
        <v>163</v>
      </c>
      <c r="AE204" s="166"/>
      <c r="AF204" s="166"/>
      <c r="AG204" s="166"/>
      <c r="AH204" s="166"/>
      <c r="AI204" s="166">
        <v>29</v>
      </c>
      <c r="AJ204" s="687"/>
      <c r="AK204" s="166"/>
      <c r="AL204" s="166"/>
      <c r="AM204" s="166"/>
      <c r="AN204" s="166"/>
      <c r="AO204" s="166"/>
      <c r="AP204" s="166"/>
      <c r="AQ204" s="166"/>
      <c r="AR204" s="166"/>
      <c r="AS204" s="166"/>
      <c r="AT204" s="166"/>
      <c r="AU204" s="166"/>
      <c r="AV204" s="166"/>
      <c r="AW204" s="166"/>
      <c r="AX204" s="166"/>
      <c r="AY204" s="166"/>
      <c r="AZ204" s="166"/>
      <c r="BA204" s="166"/>
      <c r="BB204" s="166"/>
      <c r="BC204" s="166"/>
      <c r="BD204" s="166"/>
      <c r="BE204" s="166"/>
      <c r="BF204" s="166"/>
      <c r="BG204" s="166"/>
      <c r="BH204" s="166"/>
      <c r="BI204" s="166"/>
      <c r="BJ204" s="166"/>
      <c r="BK204" s="166"/>
      <c r="BL204" s="166"/>
      <c r="BM204" s="166"/>
      <c r="BN204" s="166"/>
      <c r="BO204" s="166"/>
      <c r="BP204" s="166"/>
      <c r="BQ204" s="166"/>
      <c r="BR204" s="166"/>
      <c r="BS204" s="166"/>
    </row>
    <row r="205" spans="20:71" ht="17.399999999999999" x14ac:dyDescent="0.3">
      <c r="T205" s="167"/>
      <c r="U205" s="167"/>
      <c r="V205" s="167"/>
      <c r="W205" s="167"/>
      <c r="X205" s="166"/>
      <c r="Y205" s="166"/>
      <c r="Z205" s="166"/>
      <c r="AA205" s="166"/>
      <c r="AB205" s="166"/>
      <c r="AC205" s="166">
        <v>30</v>
      </c>
      <c r="AD205" s="166" t="s">
        <v>163</v>
      </c>
      <c r="AE205" s="166"/>
      <c r="AF205" s="166"/>
      <c r="AG205" s="166"/>
      <c r="AH205" s="166"/>
      <c r="AI205" s="166">
        <v>30</v>
      </c>
      <c r="AJ205" s="687"/>
      <c r="AK205" s="166"/>
      <c r="AL205" s="166"/>
      <c r="AM205" s="166"/>
      <c r="AN205" s="166"/>
      <c r="AO205" s="166"/>
      <c r="AP205" s="166"/>
      <c r="AQ205" s="166"/>
      <c r="AR205" s="166"/>
      <c r="AS205" s="166"/>
      <c r="AT205" s="166"/>
      <c r="AU205" s="166"/>
      <c r="AV205" s="166"/>
      <c r="AW205" s="166"/>
      <c r="AX205" s="166"/>
      <c r="AY205" s="166"/>
      <c r="AZ205" s="166"/>
      <c r="BA205" s="166"/>
      <c r="BB205" s="166"/>
      <c r="BC205" s="166"/>
      <c r="BD205" s="166"/>
      <c r="BE205" s="166"/>
      <c r="BF205" s="166"/>
      <c r="BG205" s="166"/>
      <c r="BH205" s="166"/>
      <c r="BI205" s="166"/>
      <c r="BJ205" s="166"/>
      <c r="BK205" s="166"/>
      <c r="BL205" s="166"/>
      <c r="BM205" s="166"/>
      <c r="BN205" s="166"/>
      <c r="BO205" s="166"/>
      <c r="BP205" s="166"/>
      <c r="BQ205" s="166"/>
      <c r="BR205" s="166"/>
      <c r="BS205" s="166"/>
    </row>
    <row r="206" spans="20:71" ht="17.399999999999999" x14ac:dyDescent="0.3">
      <c r="T206" s="167"/>
      <c r="U206" s="167"/>
      <c r="V206" s="167"/>
      <c r="W206" s="167"/>
      <c r="X206" s="166"/>
      <c r="Y206" s="166"/>
      <c r="Z206" s="166"/>
      <c r="AA206" s="166"/>
      <c r="AB206" s="166"/>
      <c r="AC206" s="166">
        <v>31</v>
      </c>
      <c r="AD206" s="166" t="s">
        <v>163</v>
      </c>
      <c r="AE206" s="166"/>
      <c r="AF206" s="166"/>
      <c r="AG206" s="166"/>
      <c r="AH206" s="166"/>
      <c r="AI206" s="166">
        <v>31</v>
      </c>
      <c r="AJ206" s="687"/>
      <c r="AK206" s="166"/>
      <c r="AL206" s="166"/>
      <c r="AM206" s="166"/>
      <c r="AN206" s="166"/>
      <c r="AO206" s="166"/>
      <c r="AP206" s="166"/>
      <c r="AQ206" s="166"/>
      <c r="AR206" s="166"/>
      <c r="AS206" s="166"/>
      <c r="AT206" s="166"/>
      <c r="AU206" s="166"/>
      <c r="AV206" s="166"/>
      <c r="AW206" s="166"/>
      <c r="AX206" s="166"/>
      <c r="AY206" s="166"/>
      <c r="AZ206" s="166"/>
      <c r="BA206" s="166"/>
      <c r="BB206" s="166"/>
      <c r="BC206" s="166"/>
      <c r="BD206" s="166"/>
      <c r="BE206" s="166"/>
      <c r="BF206" s="166"/>
      <c r="BG206" s="166"/>
      <c r="BH206" s="166"/>
      <c r="BI206" s="166"/>
      <c r="BJ206" s="166"/>
      <c r="BK206" s="166"/>
      <c r="BL206" s="166"/>
      <c r="BM206" s="166"/>
      <c r="BN206" s="166"/>
      <c r="BO206" s="166"/>
      <c r="BP206" s="166"/>
      <c r="BQ206" s="166"/>
      <c r="BR206" s="166"/>
      <c r="BS206" s="166"/>
    </row>
    <row r="207" spans="20:71" ht="17.399999999999999" x14ac:dyDescent="0.3">
      <c r="T207" s="167"/>
      <c r="U207" s="167"/>
      <c r="V207" s="167"/>
      <c r="W207" s="167"/>
      <c r="X207" s="166"/>
      <c r="Y207" s="166"/>
      <c r="Z207" s="166"/>
      <c r="AA207" s="166"/>
      <c r="AB207" s="166"/>
      <c r="AC207" s="166">
        <v>32</v>
      </c>
      <c r="AD207" s="166" t="s">
        <v>163</v>
      </c>
      <c r="AE207" s="166"/>
      <c r="AF207" s="166"/>
      <c r="AG207" s="166"/>
      <c r="AH207" s="166"/>
      <c r="AI207" s="166">
        <v>32</v>
      </c>
      <c r="AJ207" s="687"/>
      <c r="AK207" s="166"/>
      <c r="AL207" s="166"/>
      <c r="AM207" s="166"/>
      <c r="AN207" s="166"/>
      <c r="AO207" s="166"/>
      <c r="AP207" s="166"/>
      <c r="AQ207" s="166"/>
      <c r="AR207" s="166"/>
      <c r="AS207" s="166"/>
      <c r="AT207" s="166"/>
      <c r="AU207" s="166"/>
      <c r="AV207" s="166"/>
      <c r="AW207" s="166"/>
      <c r="AX207" s="166"/>
      <c r="AY207" s="166"/>
      <c r="AZ207" s="166"/>
      <c r="BA207" s="166"/>
      <c r="BB207" s="166"/>
      <c r="BC207" s="166"/>
      <c r="BD207" s="166"/>
      <c r="BE207" s="166"/>
      <c r="BF207" s="166"/>
      <c r="BG207" s="166"/>
      <c r="BH207" s="166"/>
      <c r="BI207" s="166"/>
      <c r="BJ207" s="166"/>
      <c r="BK207" s="166"/>
      <c r="BL207" s="166"/>
      <c r="BM207" s="166"/>
      <c r="BN207" s="166"/>
      <c r="BO207" s="166"/>
      <c r="BP207" s="166"/>
      <c r="BQ207" s="166"/>
      <c r="BR207" s="166"/>
      <c r="BS207" s="166"/>
    </row>
    <row r="208" spans="20:71" ht="17.399999999999999" x14ac:dyDescent="0.3">
      <c r="T208" s="167"/>
      <c r="U208" s="167"/>
      <c r="V208" s="167"/>
      <c r="W208" s="167"/>
      <c r="X208" s="166"/>
      <c r="Y208" s="166"/>
      <c r="Z208" s="166"/>
      <c r="AA208" s="166"/>
      <c r="AB208" s="166"/>
      <c r="AC208" s="166">
        <v>33</v>
      </c>
      <c r="AD208" s="166" t="s">
        <v>163</v>
      </c>
      <c r="AE208" s="166"/>
      <c r="AF208" s="166"/>
      <c r="AG208" s="166"/>
      <c r="AH208" s="166"/>
      <c r="AI208" s="166">
        <v>33</v>
      </c>
      <c r="AJ208" s="687"/>
      <c r="AK208" s="166"/>
      <c r="AL208" s="166"/>
      <c r="AM208" s="166"/>
      <c r="AN208" s="166"/>
      <c r="AO208" s="166"/>
      <c r="AP208" s="166"/>
      <c r="AQ208" s="166"/>
      <c r="AR208" s="166"/>
      <c r="AS208" s="166"/>
      <c r="AT208" s="166"/>
      <c r="AU208" s="166"/>
      <c r="AV208" s="166"/>
      <c r="AW208" s="166"/>
      <c r="AX208" s="166"/>
      <c r="AY208" s="166"/>
      <c r="AZ208" s="166"/>
      <c r="BA208" s="166"/>
      <c r="BB208" s="166"/>
      <c r="BC208" s="166"/>
      <c r="BD208" s="166"/>
      <c r="BE208" s="166"/>
      <c r="BF208" s="166"/>
      <c r="BG208" s="166"/>
      <c r="BH208" s="166"/>
      <c r="BI208" s="166"/>
      <c r="BJ208" s="166"/>
      <c r="BK208" s="166"/>
      <c r="BL208" s="166"/>
      <c r="BM208" s="166"/>
      <c r="BN208" s="166"/>
      <c r="BO208" s="166"/>
      <c r="BP208" s="166"/>
      <c r="BQ208" s="166"/>
      <c r="BR208" s="166"/>
      <c r="BS208" s="166"/>
    </row>
    <row r="209" spans="20:71" ht="17.399999999999999" x14ac:dyDescent="0.3">
      <c r="T209" s="167"/>
      <c r="U209" s="167"/>
      <c r="V209" s="167"/>
      <c r="W209" s="167"/>
      <c r="X209" s="166"/>
      <c r="Y209" s="166"/>
      <c r="Z209" s="166"/>
      <c r="AA209" s="166"/>
      <c r="AB209" s="166"/>
      <c r="AC209" s="166">
        <v>34</v>
      </c>
      <c r="AD209" s="166" t="s">
        <v>163</v>
      </c>
      <c r="AE209" s="166"/>
      <c r="AF209" s="166"/>
      <c r="AG209" s="166"/>
      <c r="AH209" s="166"/>
      <c r="AI209" s="166">
        <v>34</v>
      </c>
      <c r="AJ209" s="687"/>
      <c r="AK209" s="166"/>
      <c r="AL209" s="166"/>
      <c r="AM209" s="166"/>
      <c r="AN209" s="166"/>
      <c r="AO209" s="166"/>
      <c r="AP209" s="166"/>
      <c r="AQ209" s="166"/>
      <c r="AR209" s="166"/>
      <c r="AS209" s="166"/>
      <c r="AT209" s="166"/>
      <c r="AU209" s="166"/>
      <c r="AV209" s="166"/>
      <c r="AW209" s="166"/>
      <c r="AX209" s="166"/>
      <c r="AY209" s="166"/>
      <c r="AZ209" s="166"/>
      <c r="BA209" s="166"/>
      <c r="BB209" s="166"/>
      <c r="BC209" s="166"/>
      <c r="BD209" s="166"/>
      <c r="BE209" s="166"/>
      <c r="BF209" s="166"/>
      <c r="BG209" s="166"/>
      <c r="BH209" s="166"/>
      <c r="BI209" s="166"/>
      <c r="BJ209" s="166"/>
      <c r="BK209" s="166"/>
      <c r="BL209" s="166"/>
      <c r="BM209" s="166"/>
      <c r="BN209" s="166"/>
      <c r="BO209" s="166"/>
      <c r="BP209" s="166"/>
      <c r="BQ209" s="166"/>
      <c r="BR209" s="166"/>
      <c r="BS209" s="166"/>
    </row>
    <row r="210" spans="20:71" ht="17.399999999999999" x14ac:dyDescent="0.3">
      <c r="T210" s="167"/>
      <c r="U210" s="167"/>
      <c r="V210" s="167"/>
      <c r="W210" s="167"/>
      <c r="X210" s="166"/>
      <c r="Y210" s="166"/>
      <c r="Z210" s="166"/>
      <c r="AA210" s="166"/>
      <c r="AB210" s="166"/>
      <c r="AC210" s="166">
        <v>35</v>
      </c>
      <c r="AD210" s="166" t="s">
        <v>163</v>
      </c>
      <c r="AE210" s="166"/>
      <c r="AF210" s="166"/>
      <c r="AG210" s="166"/>
      <c r="AH210" s="166"/>
      <c r="AI210" s="166">
        <v>35</v>
      </c>
      <c r="AJ210" s="687"/>
      <c r="AK210" s="166"/>
      <c r="AL210" s="166"/>
      <c r="AM210" s="166"/>
      <c r="AN210" s="166"/>
      <c r="AO210" s="166"/>
      <c r="AP210" s="166"/>
      <c r="AQ210" s="166"/>
      <c r="AR210" s="166"/>
      <c r="AS210" s="166"/>
      <c r="AT210" s="166"/>
      <c r="AU210" s="166"/>
      <c r="AV210" s="166"/>
      <c r="AW210" s="166"/>
      <c r="AX210" s="166"/>
      <c r="AY210" s="166"/>
      <c r="AZ210" s="166"/>
      <c r="BA210" s="166"/>
      <c r="BB210" s="166"/>
      <c r="BC210" s="166"/>
      <c r="BD210" s="166"/>
      <c r="BE210" s="166"/>
      <c r="BF210" s="166"/>
      <c r="BG210" s="166"/>
      <c r="BH210" s="166"/>
      <c r="BI210" s="166"/>
      <c r="BJ210" s="166"/>
      <c r="BK210" s="166"/>
      <c r="BL210" s="166"/>
      <c r="BM210" s="166"/>
      <c r="BN210" s="166"/>
      <c r="BO210" s="166"/>
      <c r="BP210" s="166"/>
      <c r="BQ210" s="166"/>
      <c r="BR210" s="166"/>
      <c r="BS210" s="166"/>
    </row>
    <row r="211" spans="20:71" ht="17.399999999999999" x14ac:dyDescent="0.3">
      <c r="T211" s="167"/>
      <c r="U211" s="167"/>
      <c r="V211" s="167"/>
      <c r="W211" s="167"/>
      <c r="X211" s="166"/>
      <c r="Y211" s="166"/>
      <c r="Z211" s="166"/>
      <c r="AA211" s="166"/>
      <c r="AB211" s="166"/>
      <c r="AC211" s="166">
        <v>36</v>
      </c>
      <c r="AD211" s="166" t="s">
        <v>163</v>
      </c>
      <c r="AE211" s="166"/>
      <c r="AF211" s="166"/>
      <c r="AG211" s="166"/>
      <c r="AH211" s="166"/>
      <c r="AI211" s="166">
        <v>36</v>
      </c>
      <c r="AJ211" s="687"/>
      <c r="AK211" s="166"/>
      <c r="AL211" s="166"/>
      <c r="AM211" s="166"/>
      <c r="AN211" s="166"/>
      <c r="AO211" s="166"/>
      <c r="AP211" s="166"/>
      <c r="AQ211" s="166"/>
      <c r="AR211" s="166"/>
      <c r="AS211" s="166"/>
      <c r="AT211" s="166"/>
      <c r="AU211" s="166"/>
      <c r="AV211" s="166"/>
      <c r="AW211" s="166"/>
      <c r="AX211" s="166"/>
      <c r="AY211" s="166"/>
      <c r="AZ211" s="166"/>
      <c r="BA211" s="166"/>
      <c r="BB211" s="166"/>
      <c r="BC211" s="166"/>
      <c r="BD211" s="166"/>
      <c r="BE211" s="166"/>
      <c r="BF211" s="166"/>
      <c r="BG211" s="166"/>
      <c r="BH211" s="166"/>
      <c r="BI211" s="166"/>
      <c r="BJ211" s="166"/>
      <c r="BK211" s="166"/>
      <c r="BL211" s="166"/>
      <c r="BM211" s="166"/>
      <c r="BN211" s="166"/>
      <c r="BO211" s="166"/>
      <c r="BP211" s="166"/>
      <c r="BQ211" s="166"/>
      <c r="BR211" s="166"/>
      <c r="BS211" s="166"/>
    </row>
    <row r="212" spans="20:71" ht="17.399999999999999" x14ac:dyDescent="0.3">
      <c r="T212" s="167"/>
      <c r="U212" s="167"/>
      <c r="V212" s="167"/>
      <c r="W212" s="167"/>
      <c r="X212" s="166"/>
      <c r="Y212" s="166"/>
      <c r="Z212" s="166"/>
      <c r="AA212" s="166"/>
      <c r="AB212" s="166"/>
      <c r="AC212" s="166">
        <v>37</v>
      </c>
      <c r="AD212" s="166" t="s">
        <v>163</v>
      </c>
      <c r="AE212" s="166"/>
      <c r="AF212" s="166"/>
      <c r="AG212" s="166"/>
      <c r="AH212" s="166"/>
      <c r="AI212" s="166">
        <v>37</v>
      </c>
      <c r="AJ212" s="687"/>
      <c r="AK212" s="166"/>
      <c r="AL212" s="166"/>
      <c r="AM212" s="166"/>
      <c r="AN212" s="166"/>
      <c r="AO212" s="166"/>
      <c r="AP212" s="166"/>
      <c r="AQ212" s="166"/>
      <c r="AR212" s="166"/>
      <c r="AS212" s="166"/>
      <c r="AT212" s="166"/>
      <c r="AU212" s="166"/>
      <c r="AV212" s="166"/>
      <c r="AW212" s="166"/>
      <c r="AX212" s="166"/>
      <c r="AY212" s="166"/>
      <c r="AZ212" s="166"/>
      <c r="BA212" s="166"/>
      <c r="BB212" s="166"/>
      <c r="BC212" s="166"/>
      <c r="BD212" s="166"/>
      <c r="BE212" s="166"/>
      <c r="BF212" s="166"/>
      <c r="BG212" s="166"/>
      <c r="BH212" s="166"/>
      <c r="BI212" s="166"/>
      <c r="BJ212" s="166"/>
      <c r="BK212" s="166"/>
      <c r="BL212" s="166"/>
      <c r="BM212" s="166"/>
      <c r="BN212" s="166"/>
      <c r="BO212" s="166"/>
      <c r="BP212" s="166"/>
      <c r="BQ212" s="166"/>
      <c r="BR212" s="166"/>
      <c r="BS212" s="166"/>
    </row>
    <row r="213" spans="20:71" ht="17.399999999999999" x14ac:dyDescent="0.3">
      <c r="T213" s="167"/>
      <c r="U213" s="167"/>
      <c r="V213" s="167"/>
      <c r="W213" s="167"/>
      <c r="X213" s="166"/>
      <c r="Y213" s="166"/>
      <c r="Z213" s="166"/>
      <c r="AA213" s="166"/>
      <c r="AB213" s="166"/>
      <c r="AC213" s="166">
        <v>38</v>
      </c>
      <c r="AD213" s="166" t="s">
        <v>163</v>
      </c>
      <c r="AE213" s="166"/>
      <c r="AF213" s="166"/>
      <c r="AG213" s="166"/>
      <c r="AH213" s="166"/>
      <c r="AI213" s="166">
        <v>38</v>
      </c>
      <c r="AJ213" s="687"/>
      <c r="AK213" s="166"/>
      <c r="AL213" s="166"/>
      <c r="AM213" s="166"/>
      <c r="AN213" s="166"/>
      <c r="AO213" s="166"/>
      <c r="AP213" s="166"/>
      <c r="AQ213" s="166"/>
      <c r="AR213" s="166"/>
      <c r="AS213" s="166"/>
      <c r="AT213" s="166"/>
      <c r="AU213" s="166"/>
      <c r="AV213" s="166"/>
      <c r="AW213" s="166"/>
      <c r="AX213" s="166"/>
      <c r="AY213" s="166"/>
      <c r="AZ213" s="166"/>
      <c r="BA213" s="166"/>
      <c r="BB213" s="166"/>
      <c r="BC213" s="166"/>
      <c r="BD213" s="166"/>
      <c r="BE213" s="166"/>
      <c r="BF213" s="166"/>
      <c r="BG213" s="166"/>
      <c r="BH213" s="166"/>
      <c r="BI213" s="166"/>
      <c r="BJ213" s="166"/>
      <c r="BK213" s="166"/>
      <c r="BL213" s="166"/>
      <c r="BM213" s="166"/>
      <c r="BN213" s="166"/>
      <c r="BO213" s="166"/>
      <c r="BP213" s="166"/>
      <c r="BQ213" s="166"/>
      <c r="BR213" s="166"/>
      <c r="BS213" s="166"/>
    </row>
    <row r="214" spans="20:71" ht="17.399999999999999" x14ac:dyDescent="0.3">
      <c r="T214" s="167"/>
      <c r="U214" s="167"/>
      <c r="V214" s="167"/>
      <c r="W214" s="167"/>
      <c r="X214" s="166"/>
      <c r="Y214" s="166"/>
      <c r="Z214" s="166"/>
      <c r="AA214" s="166"/>
      <c r="AB214" s="166"/>
      <c r="AC214" s="166">
        <v>39</v>
      </c>
      <c r="AD214" s="166" t="s">
        <v>163</v>
      </c>
      <c r="AE214" s="166"/>
      <c r="AF214" s="166"/>
      <c r="AG214" s="166"/>
      <c r="AH214" s="166"/>
      <c r="AI214" s="166">
        <v>39</v>
      </c>
      <c r="AJ214" s="687"/>
      <c r="AK214" s="166"/>
      <c r="AL214" s="166"/>
      <c r="AM214" s="166"/>
      <c r="AN214" s="166"/>
      <c r="AO214" s="166"/>
      <c r="AP214" s="166"/>
      <c r="AQ214" s="166"/>
      <c r="AR214" s="166"/>
      <c r="AS214" s="166"/>
      <c r="AT214" s="166"/>
      <c r="AU214" s="166"/>
      <c r="AV214" s="166"/>
      <c r="AW214" s="166"/>
      <c r="AX214" s="166"/>
      <c r="AY214" s="166"/>
      <c r="AZ214" s="166"/>
      <c r="BA214" s="166"/>
      <c r="BB214" s="166"/>
      <c r="BC214" s="166"/>
      <c r="BD214" s="166"/>
      <c r="BE214" s="166"/>
      <c r="BF214" s="166"/>
      <c r="BG214" s="166"/>
      <c r="BH214" s="166"/>
      <c r="BI214" s="166"/>
      <c r="BJ214" s="166"/>
      <c r="BK214" s="166"/>
      <c r="BL214" s="166"/>
      <c r="BM214" s="166"/>
      <c r="BN214" s="166"/>
      <c r="BO214" s="166"/>
      <c r="BP214" s="166"/>
      <c r="BQ214" s="166"/>
      <c r="BR214" s="166"/>
      <c r="BS214" s="166"/>
    </row>
    <row r="215" spans="20:71" ht="17.399999999999999" x14ac:dyDescent="0.3">
      <c r="T215" s="167"/>
      <c r="U215" s="167"/>
      <c r="V215" s="167"/>
      <c r="W215" s="167"/>
      <c r="X215" s="166"/>
      <c r="Y215" s="166"/>
      <c r="Z215" s="166"/>
      <c r="AA215" s="166"/>
      <c r="AB215" s="166"/>
      <c r="AC215" s="166">
        <v>40</v>
      </c>
      <c r="AD215" s="166" t="s">
        <v>163</v>
      </c>
      <c r="AE215" s="166"/>
      <c r="AF215" s="166"/>
      <c r="AG215" s="166"/>
      <c r="AH215" s="166"/>
      <c r="AI215" s="166">
        <v>40</v>
      </c>
      <c r="AJ215" s="687"/>
      <c r="AK215" s="166"/>
      <c r="AL215" s="166"/>
      <c r="AM215" s="166"/>
      <c r="AN215" s="166"/>
      <c r="AO215" s="166"/>
      <c r="AP215" s="166"/>
      <c r="AQ215" s="166"/>
      <c r="AR215" s="166"/>
      <c r="AS215" s="166"/>
      <c r="AT215" s="166"/>
      <c r="AU215" s="166"/>
      <c r="AV215" s="166"/>
      <c r="AW215" s="166"/>
      <c r="AX215" s="166"/>
      <c r="AY215" s="166"/>
      <c r="AZ215" s="166"/>
      <c r="BA215" s="166"/>
      <c r="BB215" s="166"/>
      <c r="BC215" s="166"/>
      <c r="BD215" s="166"/>
      <c r="BE215" s="166"/>
      <c r="BF215" s="166"/>
      <c r="BG215" s="166"/>
      <c r="BH215" s="166"/>
      <c r="BI215" s="166"/>
      <c r="BJ215" s="166"/>
      <c r="BK215" s="166"/>
      <c r="BL215" s="166"/>
      <c r="BM215" s="166"/>
      <c r="BN215" s="166"/>
      <c r="BO215" s="166"/>
      <c r="BP215" s="166"/>
      <c r="BQ215" s="166"/>
      <c r="BR215" s="166"/>
      <c r="BS215" s="166"/>
    </row>
    <row r="216" spans="20:71" ht="17.399999999999999" x14ac:dyDescent="0.3">
      <c r="T216" s="167"/>
      <c r="U216" s="167"/>
      <c r="V216" s="167"/>
      <c r="W216" s="167"/>
      <c r="X216" s="166"/>
      <c r="Y216" s="166"/>
      <c r="Z216" s="166"/>
      <c r="AA216" s="166"/>
      <c r="AB216" s="166"/>
      <c r="AC216" s="166">
        <v>41</v>
      </c>
      <c r="AD216" s="166" t="s">
        <v>163</v>
      </c>
      <c r="AE216" s="166"/>
      <c r="AF216" s="166"/>
      <c r="AG216" s="166"/>
      <c r="AH216" s="166"/>
      <c r="AI216" s="166">
        <v>41</v>
      </c>
      <c r="AJ216" s="687"/>
      <c r="AK216" s="166"/>
      <c r="AL216" s="166"/>
      <c r="AM216" s="166"/>
      <c r="AN216" s="166"/>
      <c r="AO216" s="166"/>
      <c r="AP216" s="166"/>
      <c r="AQ216" s="166"/>
      <c r="AR216" s="166"/>
      <c r="AS216" s="166"/>
      <c r="AT216" s="166"/>
      <c r="AU216" s="166"/>
      <c r="AV216" s="166"/>
      <c r="AW216" s="166"/>
      <c r="AX216" s="166"/>
      <c r="AY216" s="166"/>
      <c r="AZ216" s="166"/>
      <c r="BA216" s="166"/>
      <c r="BB216" s="166"/>
      <c r="BC216" s="166"/>
      <c r="BD216" s="166"/>
      <c r="BE216" s="166"/>
      <c r="BF216" s="166"/>
      <c r="BG216" s="166"/>
      <c r="BH216" s="166"/>
      <c r="BI216" s="166"/>
      <c r="BJ216" s="166"/>
      <c r="BK216" s="166"/>
      <c r="BL216" s="166"/>
      <c r="BM216" s="166"/>
      <c r="BN216" s="166"/>
      <c r="BO216" s="166"/>
      <c r="BP216" s="166"/>
      <c r="BQ216" s="166"/>
      <c r="BR216" s="166"/>
      <c r="BS216" s="166"/>
    </row>
    <row r="217" spans="20:71" ht="17.399999999999999" x14ac:dyDescent="0.3">
      <c r="T217" s="167"/>
      <c r="U217" s="167"/>
      <c r="V217" s="167"/>
      <c r="W217" s="167"/>
      <c r="X217" s="166"/>
      <c r="Y217" s="166"/>
      <c r="Z217" s="166"/>
      <c r="AA217" s="166"/>
      <c r="AB217" s="166"/>
      <c r="AC217" s="166">
        <v>42</v>
      </c>
      <c r="AD217" s="166" t="s">
        <v>163</v>
      </c>
      <c r="AE217" s="166"/>
      <c r="AF217" s="166"/>
      <c r="AG217" s="166"/>
      <c r="AH217" s="166"/>
      <c r="AI217" s="166">
        <v>42</v>
      </c>
      <c r="AJ217" s="687"/>
      <c r="AK217" s="166"/>
      <c r="AL217" s="166"/>
      <c r="AM217" s="166"/>
      <c r="AN217" s="166"/>
      <c r="AO217" s="166"/>
      <c r="AP217" s="166"/>
      <c r="AQ217" s="166"/>
      <c r="AR217" s="166"/>
      <c r="AS217" s="166"/>
      <c r="AT217" s="166"/>
      <c r="AU217" s="166"/>
      <c r="AV217" s="166"/>
      <c r="AW217" s="166"/>
      <c r="AX217" s="166"/>
      <c r="AY217" s="166"/>
      <c r="AZ217" s="166"/>
      <c r="BA217" s="166"/>
      <c r="BB217" s="166"/>
      <c r="BC217" s="166"/>
      <c r="BD217" s="166"/>
      <c r="BE217" s="166"/>
      <c r="BF217" s="166"/>
      <c r="BG217" s="166"/>
      <c r="BH217" s="166"/>
      <c r="BI217" s="166"/>
      <c r="BJ217" s="166"/>
      <c r="BK217" s="166"/>
      <c r="BL217" s="166"/>
      <c r="BM217" s="166"/>
      <c r="BN217" s="166"/>
      <c r="BO217" s="166"/>
      <c r="BP217" s="166"/>
      <c r="BQ217" s="166"/>
      <c r="BR217" s="166"/>
      <c r="BS217" s="166"/>
    </row>
    <row r="218" spans="20:71" ht="17.399999999999999" x14ac:dyDescent="0.3">
      <c r="T218" s="167"/>
      <c r="U218" s="167"/>
      <c r="V218" s="167"/>
      <c r="W218" s="167"/>
      <c r="X218" s="166"/>
      <c r="Y218" s="166"/>
      <c r="Z218" s="166"/>
      <c r="AA218" s="166"/>
      <c r="AB218" s="166"/>
      <c r="AC218" s="166">
        <v>43</v>
      </c>
      <c r="AD218" s="166" t="s">
        <v>163</v>
      </c>
      <c r="AE218" s="166"/>
      <c r="AF218" s="166"/>
      <c r="AG218" s="166"/>
      <c r="AH218" s="166"/>
      <c r="AI218" s="166">
        <v>43</v>
      </c>
      <c r="AJ218" s="687"/>
      <c r="AK218" s="166"/>
      <c r="AL218" s="166"/>
      <c r="AM218" s="166"/>
      <c r="AN218" s="166"/>
      <c r="AO218" s="166"/>
      <c r="AP218" s="166"/>
      <c r="AQ218" s="166"/>
      <c r="AR218" s="166"/>
      <c r="AS218" s="166"/>
      <c r="AT218" s="166"/>
      <c r="AU218" s="166"/>
      <c r="AV218" s="166"/>
      <c r="AW218" s="166"/>
      <c r="AX218" s="166"/>
      <c r="AY218" s="166"/>
      <c r="AZ218" s="166"/>
      <c r="BA218" s="166"/>
      <c r="BB218" s="166"/>
      <c r="BC218" s="166"/>
      <c r="BD218" s="166"/>
      <c r="BE218" s="166"/>
      <c r="BF218" s="166"/>
      <c r="BG218" s="166"/>
      <c r="BH218" s="166"/>
      <c r="BI218" s="166"/>
      <c r="BJ218" s="166"/>
      <c r="BK218" s="166"/>
      <c r="BL218" s="166"/>
      <c r="BM218" s="166"/>
      <c r="BN218" s="166"/>
      <c r="BO218" s="166"/>
      <c r="BP218" s="166"/>
      <c r="BQ218" s="166"/>
      <c r="BR218" s="166"/>
      <c r="BS218" s="166"/>
    </row>
    <row r="219" spans="20:71" ht="17.399999999999999" x14ac:dyDescent="0.3">
      <c r="T219" s="167"/>
      <c r="U219" s="167"/>
      <c r="V219" s="167"/>
      <c r="W219" s="167"/>
      <c r="X219" s="166"/>
      <c r="Y219" s="166"/>
      <c r="Z219" s="166"/>
      <c r="AA219" s="166"/>
      <c r="AB219" s="166"/>
      <c r="AC219" s="166">
        <v>44</v>
      </c>
      <c r="AD219" s="166" t="s">
        <v>163</v>
      </c>
      <c r="AE219" s="166"/>
      <c r="AF219" s="166"/>
      <c r="AG219" s="166"/>
      <c r="AH219" s="166"/>
      <c r="AI219" s="166">
        <v>44</v>
      </c>
      <c r="AJ219" s="687"/>
      <c r="AK219" s="166"/>
      <c r="AL219" s="166"/>
      <c r="AM219" s="166"/>
      <c r="AN219" s="166"/>
      <c r="AO219" s="166"/>
      <c r="AP219" s="166"/>
      <c r="AQ219" s="166"/>
      <c r="AR219" s="166"/>
      <c r="AS219" s="166"/>
      <c r="AT219" s="166"/>
      <c r="AU219" s="166"/>
      <c r="AV219" s="166"/>
      <c r="AW219" s="166"/>
      <c r="AX219" s="166"/>
      <c r="AY219" s="166"/>
      <c r="AZ219" s="166"/>
      <c r="BA219" s="166"/>
      <c r="BB219" s="166"/>
      <c r="BC219" s="166"/>
      <c r="BD219" s="166"/>
      <c r="BE219" s="166"/>
      <c r="BF219" s="166"/>
      <c r="BG219" s="166"/>
      <c r="BH219" s="166"/>
      <c r="BI219" s="166"/>
      <c r="BJ219" s="166"/>
      <c r="BK219" s="166"/>
      <c r="BL219" s="166"/>
      <c r="BM219" s="166"/>
      <c r="BN219" s="166"/>
      <c r="BO219" s="166"/>
      <c r="BP219" s="166"/>
      <c r="BQ219" s="166"/>
      <c r="BR219" s="166"/>
      <c r="BS219" s="166"/>
    </row>
    <row r="220" spans="20:71" ht="17.399999999999999" x14ac:dyDescent="0.3">
      <c r="T220" s="167"/>
      <c r="U220" s="167"/>
      <c r="V220" s="167"/>
      <c r="W220" s="167"/>
      <c r="X220" s="166"/>
      <c r="Y220" s="166"/>
      <c r="Z220" s="166"/>
      <c r="AA220" s="166"/>
      <c r="AB220" s="166"/>
      <c r="AC220" s="166">
        <v>45</v>
      </c>
      <c r="AD220" s="166" t="s">
        <v>163</v>
      </c>
      <c r="AE220" s="166"/>
      <c r="AF220" s="166"/>
      <c r="AG220" s="166"/>
      <c r="AH220" s="166"/>
      <c r="AI220" s="166">
        <v>45</v>
      </c>
      <c r="AJ220" s="687"/>
      <c r="AK220" s="166"/>
      <c r="AL220" s="166"/>
      <c r="AM220" s="166"/>
      <c r="AN220" s="166"/>
      <c r="AO220" s="166"/>
      <c r="AP220" s="166"/>
      <c r="AQ220" s="166"/>
      <c r="AR220" s="166"/>
      <c r="AS220" s="166"/>
      <c r="AT220" s="166"/>
      <c r="AU220" s="166"/>
      <c r="AV220" s="166"/>
      <c r="AW220" s="166"/>
      <c r="AX220" s="166"/>
      <c r="AY220" s="166"/>
      <c r="AZ220" s="166"/>
      <c r="BA220" s="166"/>
      <c r="BB220" s="166"/>
      <c r="BC220" s="166"/>
      <c r="BD220" s="166"/>
      <c r="BE220" s="166"/>
      <c r="BF220" s="166"/>
      <c r="BG220" s="166"/>
      <c r="BH220" s="166"/>
      <c r="BI220" s="166"/>
      <c r="BJ220" s="166"/>
      <c r="BK220" s="166"/>
      <c r="BL220" s="166"/>
      <c r="BM220" s="166"/>
      <c r="BN220" s="166"/>
      <c r="BO220" s="166"/>
      <c r="BP220" s="166"/>
      <c r="BQ220" s="166"/>
      <c r="BR220" s="166"/>
      <c r="BS220" s="166"/>
    </row>
    <row r="221" spans="20:71" ht="17.399999999999999" x14ac:dyDescent="0.3">
      <c r="T221" s="167"/>
      <c r="U221" s="167"/>
      <c r="V221" s="167"/>
      <c r="W221" s="167"/>
      <c r="X221" s="166"/>
      <c r="Y221" s="166"/>
      <c r="Z221" s="166"/>
      <c r="AA221" s="166"/>
      <c r="AB221" s="166"/>
      <c r="AC221" s="166">
        <v>46</v>
      </c>
      <c r="AD221" s="166" t="s">
        <v>163</v>
      </c>
      <c r="AE221" s="166"/>
      <c r="AF221" s="166"/>
      <c r="AG221" s="166"/>
      <c r="AH221" s="166"/>
      <c r="AI221" s="166">
        <v>46</v>
      </c>
      <c r="AJ221" s="687"/>
      <c r="AK221" s="166"/>
      <c r="AL221" s="166"/>
      <c r="AM221" s="166"/>
      <c r="AN221" s="166"/>
      <c r="AO221" s="166"/>
      <c r="AP221" s="166"/>
      <c r="AQ221" s="166"/>
      <c r="AR221" s="166"/>
      <c r="AS221" s="166"/>
      <c r="AT221" s="166"/>
      <c r="AU221" s="166"/>
      <c r="AV221" s="166"/>
      <c r="AW221" s="166"/>
      <c r="AX221" s="166"/>
      <c r="AY221" s="166"/>
      <c r="AZ221" s="166"/>
      <c r="BA221" s="166"/>
      <c r="BB221" s="166"/>
      <c r="BC221" s="166"/>
      <c r="BD221" s="166"/>
      <c r="BE221" s="166"/>
      <c r="BF221" s="166"/>
      <c r="BG221" s="166"/>
      <c r="BH221" s="166"/>
      <c r="BI221" s="166"/>
      <c r="BJ221" s="166"/>
      <c r="BK221" s="166"/>
      <c r="BL221" s="166"/>
      <c r="BM221" s="166"/>
      <c r="BN221" s="166"/>
      <c r="BO221" s="166"/>
      <c r="BP221" s="166"/>
      <c r="BQ221" s="166"/>
      <c r="BR221" s="166"/>
      <c r="BS221" s="166"/>
    </row>
    <row r="222" spans="20:71" ht="17.399999999999999" x14ac:dyDescent="0.3">
      <c r="T222" s="167"/>
      <c r="U222" s="167"/>
      <c r="V222" s="167"/>
      <c r="W222" s="167"/>
      <c r="X222" s="166"/>
      <c r="Y222" s="166"/>
      <c r="Z222" s="166"/>
      <c r="AA222" s="166"/>
      <c r="AB222" s="166"/>
      <c r="AC222" s="166">
        <v>47</v>
      </c>
      <c r="AD222" s="166" t="s">
        <v>163</v>
      </c>
      <c r="AE222" s="166"/>
      <c r="AF222" s="166"/>
      <c r="AG222" s="166"/>
      <c r="AH222" s="166"/>
      <c r="AI222" s="166">
        <v>47</v>
      </c>
      <c r="AJ222" s="687"/>
      <c r="AK222" s="166"/>
      <c r="AL222" s="166"/>
      <c r="AM222" s="166"/>
      <c r="AN222" s="166"/>
      <c r="AO222" s="166"/>
      <c r="AP222" s="166"/>
      <c r="AQ222" s="166"/>
      <c r="AR222" s="166"/>
      <c r="AS222" s="166"/>
      <c r="AT222" s="166"/>
      <c r="AU222" s="166"/>
      <c r="AV222" s="166"/>
      <c r="AW222" s="166"/>
      <c r="AX222" s="166"/>
      <c r="AY222" s="166"/>
      <c r="AZ222" s="166"/>
      <c r="BA222" s="166"/>
      <c r="BB222" s="166"/>
      <c r="BC222" s="166"/>
      <c r="BD222" s="166"/>
      <c r="BE222" s="166"/>
      <c r="BF222" s="166"/>
      <c r="BG222" s="166"/>
      <c r="BH222" s="166"/>
      <c r="BI222" s="166"/>
      <c r="BJ222" s="166"/>
      <c r="BK222" s="166"/>
      <c r="BL222" s="166"/>
      <c r="BM222" s="166"/>
      <c r="BN222" s="166"/>
      <c r="BO222" s="166"/>
      <c r="BP222" s="166"/>
      <c r="BQ222" s="166"/>
      <c r="BR222" s="166"/>
      <c r="BS222" s="166"/>
    </row>
    <row r="223" spans="20:71" ht="17.399999999999999" x14ac:dyDescent="0.3">
      <c r="T223" s="167"/>
      <c r="U223" s="167"/>
      <c r="V223" s="167"/>
      <c r="W223" s="167"/>
      <c r="X223" s="166"/>
      <c r="Y223" s="166"/>
      <c r="Z223" s="166"/>
      <c r="AA223" s="166"/>
      <c r="AB223" s="166"/>
      <c r="AC223" s="166">
        <v>48</v>
      </c>
      <c r="AD223" s="166" t="s">
        <v>163</v>
      </c>
      <c r="AE223" s="166"/>
      <c r="AF223" s="166"/>
      <c r="AG223" s="166"/>
      <c r="AH223" s="166"/>
      <c r="AI223" s="166">
        <v>48</v>
      </c>
      <c r="AJ223" s="687">
        <v>1</v>
      </c>
      <c r="AK223" s="166"/>
      <c r="AL223" s="166"/>
      <c r="AM223" s="166"/>
      <c r="AN223" s="166"/>
      <c r="AO223" s="166"/>
      <c r="AP223" s="166"/>
      <c r="AQ223" s="166"/>
      <c r="AR223" s="166"/>
      <c r="AS223" s="166"/>
      <c r="AT223" s="166"/>
      <c r="AU223" s="166"/>
      <c r="AV223" s="166"/>
      <c r="AW223" s="166"/>
      <c r="AX223" s="166"/>
      <c r="AY223" s="166"/>
      <c r="AZ223" s="166"/>
      <c r="BA223" s="166"/>
      <c r="BB223" s="166"/>
      <c r="BC223" s="166"/>
      <c r="BD223" s="166"/>
      <c r="BE223" s="166"/>
      <c r="BF223" s="166"/>
      <c r="BG223" s="166"/>
      <c r="BH223" s="166"/>
      <c r="BI223" s="166"/>
      <c r="BJ223" s="166"/>
      <c r="BK223" s="166"/>
      <c r="BL223" s="166"/>
      <c r="BM223" s="166"/>
      <c r="BN223" s="166"/>
      <c r="BO223" s="166"/>
      <c r="BP223" s="166"/>
      <c r="BQ223" s="166"/>
      <c r="BR223" s="166"/>
      <c r="BS223" s="166"/>
    </row>
    <row r="224" spans="20:71" x14ac:dyDescent="0.3">
      <c r="T224" s="167"/>
      <c r="U224" s="167"/>
      <c r="V224" s="167"/>
      <c r="W224" s="167"/>
      <c r="X224" s="166"/>
      <c r="Y224" s="166"/>
      <c r="Z224" s="166"/>
      <c r="AA224" s="166"/>
      <c r="AB224" s="166"/>
      <c r="AC224" s="166"/>
      <c r="AD224" s="166"/>
      <c r="AE224" s="166"/>
      <c r="AF224" s="166"/>
      <c r="AG224" s="166"/>
      <c r="AH224" s="166"/>
      <c r="AI224" s="166"/>
      <c r="AJ224" s="166"/>
      <c r="AK224" s="166"/>
      <c r="AL224" s="166"/>
      <c r="AM224" s="166"/>
      <c r="AN224" s="166"/>
      <c r="AO224" s="166"/>
      <c r="AP224" s="166"/>
      <c r="AQ224" s="166"/>
      <c r="AR224" s="166"/>
      <c r="AS224" s="166"/>
      <c r="AT224" s="166"/>
      <c r="AU224" s="166"/>
      <c r="AV224" s="166"/>
      <c r="AW224" s="166"/>
      <c r="AX224" s="166"/>
      <c r="AY224" s="166"/>
      <c r="AZ224" s="166"/>
      <c r="BA224" s="166"/>
      <c r="BB224" s="166"/>
      <c r="BC224" s="166"/>
      <c r="BD224" s="166"/>
      <c r="BE224" s="166"/>
      <c r="BF224" s="166"/>
      <c r="BG224" s="166"/>
      <c r="BH224" s="166"/>
      <c r="BI224" s="166"/>
      <c r="BJ224" s="166"/>
      <c r="BK224" s="166"/>
      <c r="BL224" s="166"/>
      <c r="BM224" s="166"/>
      <c r="BN224" s="166"/>
      <c r="BO224" s="166"/>
      <c r="BP224" s="166"/>
      <c r="BQ224" s="166"/>
      <c r="BR224" s="166"/>
      <c r="BS224" s="166"/>
    </row>
    <row r="225" spans="20:71" x14ac:dyDescent="0.3">
      <c r="T225" s="167"/>
      <c r="U225" s="167"/>
      <c r="V225" s="167"/>
      <c r="W225" s="167"/>
      <c r="X225" s="166"/>
      <c r="Y225" s="166"/>
      <c r="Z225" s="166"/>
      <c r="AA225" s="166"/>
      <c r="AB225" s="166"/>
      <c r="AC225" s="166"/>
      <c r="AD225" s="166"/>
      <c r="AE225" s="166"/>
      <c r="AF225" s="166"/>
      <c r="AG225" s="166"/>
      <c r="AH225" s="166"/>
      <c r="AI225" s="166"/>
      <c r="AJ225" s="166"/>
      <c r="AK225" s="166"/>
      <c r="AL225" s="166"/>
      <c r="AM225" s="166"/>
      <c r="AN225" s="166"/>
      <c r="AO225" s="166"/>
      <c r="AP225" s="166"/>
      <c r="AQ225" s="166"/>
      <c r="AR225" s="166"/>
      <c r="AS225" s="166"/>
      <c r="AT225" s="166"/>
      <c r="AU225" s="166"/>
      <c r="AV225" s="166"/>
      <c r="AW225" s="166"/>
      <c r="AX225" s="166"/>
      <c r="AY225" s="166"/>
      <c r="AZ225" s="166"/>
      <c r="BA225" s="166"/>
      <c r="BB225" s="166"/>
      <c r="BC225" s="166"/>
      <c r="BD225" s="166"/>
      <c r="BE225" s="166"/>
      <c r="BF225" s="166"/>
      <c r="BG225" s="166"/>
      <c r="BH225" s="166"/>
      <c r="BI225" s="166"/>
      <c r="BJ225" s="166"/>
      <c r="BK225" s="166"/>
      <c r="BL225" s="166"/>
      <c r="BM225" s="166"/>
      <c r="BN225" s="166"/>
      <c r="BO225" s="166"/>
      <c r="BP225" s="166"/>
      <c r="BQ225" s="166"/>
      <c r="BR225" s="166"/>
      <c r="BS225" s="166"/>
    </row>
    <row r="226" spans="20:71" ht="17.399999999999999" x14ac:dyDescent="0.3">
      <c r="T226" s="167"/>
      <c r="U226" s="167"/>
      <c r="V226" s="167"/>
      <c r="W226" s="167"/>
      <c r="X226" s="166"/>
      <c r="Y226" s="166"/>
      <c r="Z226" s="166"/>
      <c r="AA226" s="166"/>
      <c r="AB226" s="166"/>
      <c r="AC226" s="166"/>
      <c r="AD226" s="166"/>
      <c r="AE226" s="166"/>
      <c r="AF226" s="166"/>
      <c r="AG226" s="166"/>
      <c r="AH226" s="166"/>
      <c r="AI226" s="166"/>
      <c r="AJ226" s="687"/>
      <c r="AK226" s="166"/>
      <c r="AL226" s="166"/>
      <c r="AM226" s="166"/>
      <c r="AN226" s="166"/>
      <c r="AO226" s="166"/>
      <c r="AP226" s="166"/>
      <c r="AQ226" s="166"/>
      <c r="AR226" s="166"/>
      <c r="AS226" s="166"/>
      <c r="AT226" s="166"/>
      <c r="AU226" s="166"/>
      <c r="AV226" s="166"/>
      <c r="AW226" s="166"/>
      <c r="AX226" s="166"/>
      <c r="AY226" s="166"/>
      <c r="AZ226" s="166"/>
      <c r="BA226" s="166"/>
      <c r="BB226" s="166"/>
      <c r="BC226" s="166"/>
      <c r="BD226" s="166"/>
      <c r="BE226" s="166"/>
      <c r="BF226" s="166"/>
      <c r="BG226" s="166"/>
      <c r="BH226" s="166"/>
      <c r="BI226" s="166"/>
      <c r="BJ226" s="166"/>
      <c r="BK226" s="166"/>
      <c r="BL226" s="166"/>
      <c r="BM226" s="166"/>
      <c r="BN226" s="166"/>
      <c r="BO226" s="166"/>
      <c r="BP226" s="166"/>
      <c r="BQ226" s="166"/>
      <c r="BR226" s="166"/>
      <c r="BS226" s="166"/>
    </row>
  </sheetData>
  <sheetProtection algorithmName="SHA-512" hashValue="4HwxgdsGuD+A5B0hzHPVOg+QPEhN3nhf+zZWqJxk6Gw7Q7+ZgZHFOQjBR0jOvFOJTMjGKQELbtBwyCYyVow2PA==" saltValue="nfQvs5o07SGMYpJRukH6nQ==" spinCount="100000" sheet="1" objects="1" scenarios="1" selectLockedCells="1" selectUnlockedCells="1"/>
  <mergeCells count="29">
    <mergeCell ref="C72:D72"/>
    <mergeCell ref="C73:D73"/>
    <mergeCell ref="C74:D74"/>
    <mergeCell ref="C66:D66"/>
    <mergeCell ref="C67:D67"/>
    <mergeCell ref="C68:D68"/>
    <mergeCell ref="C69:D69"/>
    <mergeCell ref="C70:D70"/>
    <mergeCell ref="C71:D71"/>
    <mergeCell ref="C65:D65"/>
    <mergeCell ref="P11:R11"/>
    <mergeCell ref="B12:M12"/>
    <mergeCell ref="N12:O12"/>
    <mergeCell ref="P12:R12"/>
    <mergeCell ref="P13:R13"/>
    <mergeCell ref="B33:I33"/>
    <mergeCell ref="J33:K33"/>
    <mergeCell ref="B50:J50"/>
    <mergeCell ref="C63:D63"/>
    <mergeCell ref="C64:D64"/>
    <mergeCell ref="T17:Z17"/>
    <mergeCell ref="T6:Z6"/>
    <mergeCell ref="E7:H7"/>
    <mergeCell ref="J7:L7"/>
    <mergeCell ref="B9:O9"/>
    <mergeCell ref="P9:R9"/>
    <mergeCell ref="B10:M10"/>
    <mergeCell ref="N10:O10"/>
    <mergeCell ref="P10:R10"/>
  </mergeCells>
  <conditionalFormatting sqref="B140">
    <cfRule type="cellIs" dxfId="112" priority="125" operator="greaterThanOrEqual">
      <formula>$AI$143</formula>
    </cfRule>
    <cfRule type="cellIs" dxfId="111" priority="124" operator="between">
      <formula>$AI$142</formula>
      <formula>$AJ$142</formula>
    </cfRule>
    <cfRule type="cellIs" dxfId="110" priority="126" operator="lessThanOrEqual">
      <formula>$AJ$141</formula>
    </cfRule>
  </conditionalFormatting>
  <conditionalFormatting sqref="B143">
    <cfRule type="cellIs" dxfId="109" priority="127" operator="between">
      <formula>$AI$146</formula>
      <formula>$AJ$146</formula>
    </cfRule>
    <cfRule type="cellIs" dxfId="108" priority="128" operator="greaterThanOrEqual">
      <formula>$AI$147</formula>
    </cfRule>
    <cfRule type="cellIs" dxfId="107" priority="129" operator="lessThanOrEqual">
      <formula>$AJ$145</formula>
    </cfRule>
  </conditionalFormatting>
  <conditionalFormatting sqref="N37">
    <cfRule type="cellIs" dxfId="106" priority="121" stopIfTrue="1" operator="between">
      <formula>$T$37</formula>
      <formula>$Q$37</formula>
    </cfRule>
    <cfRule type="cellIs" dxfId="105" priority="120" stopIfTrue="1" operator="lessThan">
      <formula>$T$37</formula>
    </cfRule>
    <cfRule type="cellIs" dxfId="104" priority="35" operator="greaterThanOrEqual">
      <formula>$Q$37</formula>
    </cfRule>
  </conditionalFormatting>
  <conditionalFormatting sqref="N42">
    <cfRule type="cellIs" dxfId="103" priority="119" stopIfTrue="1" operator="between">
      <formula>$T$42</formula>
      <formula>$Q$42</formula>
    </cfRule>
    <cfRule type="cellIs" dxfId="102" priority="118" stopIfTrue="1" operator="greaterThan">
      <formula>$T$42</formula>
    </cfRule>
    <cfRule type="cellIs" dxfId="101" priority="34" operator="lessThanOrEqual">
      <formula>$Q$42</formula>
    </cfRule>
  </conditionalFormatting>
  <conditionalFormatting sqref="N43">
    <cfRule type="cellIs" dxfId="100" priority="117" stopIfTrue="1" operator="between">
      <formula>$T$43</formula>
      <formula>$Q$43</formula>
    </cfRule>
    <cfRule type="cellIs" dxfId="99" priority="116" stopIfTrue="1" operator="lessThan">
      <formula>$T$43</formula>
    </cfRule>
    <cfRule type="cellIs" dxfId="98" priority="33" operator="greaterThanOrEqual">
      <formula>$Q$43</formula>
    </cfRule>
  </conditionalFormatting>
  <conditionalFormatting sqref="N57">
    <cfRule type="cellIs" dxfId="97" priority="3" operator="equal">
      <formula>0</formula>
    </cfRule>
    <cfRule type="cellIs" dxfId="96" priority="37" operator="greaterThanOrEqual">
      <formula>$Q$57</formula>
    </cfRule>
    <cfRule type="cellIs" dxfId="95" priority="38" operator="lessThan">
      <formula>$T$57</formula>
    </cfRule>
    <cfRule type="cellIs" dxfId="94" priority="39" operator="between">
      <formula>$T$57</formula>
      <formula>$Q$57</formula>
    </cfRule>
  </conditionalFormatting>
  <conditionalFormatting sqref="N61">
    <cfRule type="cellIs" dxfId="93" priority="23" operator="equal">
      <formula>0</formula>
    </cfRule>
    <cfRule type="cellIs" dxfId="92" priority="26" operator="greaterThanOrEqual">
      <formula>$Q$61</formula>
    </cfRule>
    <cfRule type="cellIs" dxfId="91" priority="40" operator="lessThan">
      <formula>$T$61</formula>
    </cfRule>
    <cfRule type="cellIs" dxfId="90" priority="41" operator="between">
      <formula>$T$61</formula>
      <formula>$Q$61</formula>
    </cfRule>
  </conditionalFormatting>
  <conditionalFormatting sqref="N65">
    <cfRule type="cellIs" dxfId="89" priority="24" operator="equal">
      <formula>0</formula>
    </cfRule>
    <cfRule type="cellIs" dxfId="88" priority="25" operator="greaterThanOrEqual">
      <formula>$Q$65</formula>
    </cfRule>
    <cfRule type="cellIs" dxfId="87" priority="103" operator="lessThan">
      <formula>$T$65</formula>
    </cfRule>
    <cfRule type="cellIs" dxfId="86" priority="102" operator="between">
      <formula>$T$65</formula>
      <formula>$Q$65</formula>
    </cfRule>
  </conditionalFormatting>
  <conditionalFormatting sqref="N66">
    <cfRule type="cellIs" dxfId="85" priority="100" operator="lessThan">
      <formula>$T$66</formula>
    </cfRule>
    <cfRule type="cellIs" dxfId="84" priority="99" operator="between">
      <formula>$T$66</formula>
      <formula>$Q$66</formula>
    </cfRule>
    <cfRule type="cellIs" dxfId="83" priority="82" operator="greaterThanOrEqual">
      <formula>$Q$66</formula>
    </cfRule>
  </conditionalFormatting>
  <conditionalFormatting sqref="N66:N69">
    <cfRule type="cellIs" dxfId="82" priority="19" operator="equal">
      <formula>0</formula>
    </cfRule>
  </conditionalFormatting>
  <conditionalFormatting sqref="N67">
    <cfRule type="cellIs" dxfId="81" priority="97" operator="between">
      <formula>$T$67</formula>
      <formula>$Q$67</formula>
    </cfRule>
    <cfRule type="cellIs" dxfId="80" priority="98" operator="lessThan">
      <formula>$T$67</formula>
    </cfRule>
    <cfRule type="cellIs" dxfId="79" priority="81" operator="greaterThanOrEqual">
      <formula>$Q$67</formula>
    </cfRule>
  </conditionalFormatting>
  <conditionalFormatting sqref="N68">
    <cfRule type="cellIs" dxfId="78" priority="96" operator="lessThan">
      <formula>$T$68</formula>
    </cfRule>
    <cfRule type="cellIs" dxfId="77" priority="95" operator="between">
      <formula>$T$68</formula>
      <formula>$Q$68</formula>
    </cfRule>
    <cfRule type="cellIs" dxfId="76" priority="80" operator="greaterThanOrEqual">
      <formula>$Q$68</formula>
    </cfRule>
  </conditionalFormatting>
  <conditionalFormatting sqref="N69">
    <cfRule type="cellIs" dxfId="75" priority="94" operator="lessThan">
      <formula>$T$69</formula>
    </cfRule>
    <cfRule type="cellIs" dxfId="74" priority="93" operator="between">
      <formula>$T$69</formula>
      <formula>$Q$69</formula>
    </cfRule>
    <cfRule type="cellIs" dxfId="73" priority="79" operator="greaterThanOrEqual">
      <formula>$Q$69</formula>
    </cfRule>
  </conditionalFormatting>
  <conditionalFormatting sqref="N70">
    <cfRule type="cellIs" dxfId="72" priority="92" operator="lessThan">
      <formula>$T$70</formula>
    </cfRule>
    <cfRule type="cellIs" dxfId="71" priority="91" operator="between">
      <formula>$T$70</formula>
      <formula>$Q$70</formula>
    </cfRule>
    <cfRule type="cellIs" dxfId="70" priority="78" operator="greaterThanOrEqual">
      <formula>$Q$70</formula>
    </cfRule>
    <cfRule type="cellIs" dxfId="69" priority="18" operator="equal">
      <formula>0</formula>
    </cfRule>
  </conditionalFormatting>
  <conditionalFormatting sqref="N71">
    <cfRule type="cellIs" dxfId="68" priority="90" operator="lessThan">
      <formula>$T$71</formula>
    </cfRule>
    <cfRule type="cellIs" dxfId="67" priority="89" operator="between">
      <formula>$T$71</formula>
      <formula>$Q$71</formula>
    </cfRule>
    <cfRule type="cellIs" dxfId="66" priority="77" operator="greaterThanOrEqual">
      <formula>$Q$71</formula>
    </cfRule>
  </conditionalFormatting>
  <conditionalFormatting sqref="N71:N74">
    <cfRule type="cellIs" dxfId="65" priority="14" operator="equal">
      <formula>0</formula>
    </cfRule>
  </conditionalFormatting>
  <conditionalFormatting sqref="N72">
    <cfRule type="cellIs" dxfId="64" priority="88" operator="lessThan">
      <formula>$T$72</formula>
    </cfRule>
    <cfRule type="cellIs" dxfId="63" priority="87" operator="between">
      <formula>$T$72</formula>
      <formula>$Q$72</formula>
    </cfRule>
    <cfRule type="cellIs" dxfId="62" priority="76" operator="greaterThanOrEqual">
      <formula>$Q$72</formula>
    </cfRule>
  </conditionalFormatting>
  <conditionalFormatting sqref="N73">
    <cfRule type="cellIs" dxfId="61" priority="85" operator="between">
      <formula>$T$73</formula>
      <formula>$Q$73</formula>
    </cfRule>
    <cfRule type="cellIs" dxfId="60" priority="75" operator="greaterThanOrEqual">
      <formula>$Q$73</formula>
    </cfRule>
    <cfRule type="cellIs" dxfId="59" priority="86" operator="lessThan">
      <formula>$T$73</formula>
    </cfRule>
  </conditionalFormatting>
  <conditionalFormatting sqref="N74">
    <cfRule type="cellIs" dxfId="58" priority="84" operator="lessThan">
      <formula>$T$74</formula>
    </cfRule>
    <cfRule type="cellIs" dxfId="57" priority="83" operator="between">
      <formula>$T$74</formula>
      <formula>$Q$74</formula>
    </cfRule>
    <cfRule type="cellIs" dxfId="56" priority="74" operator="greaterThanOrEqual">
      <formula>$Q$74</formula>
    </cfRule>
  </conditionalFormatting>
  <conditionalFormatting sqref="N78">
    <cfRule type="cellIs" dxfId="55" priority="70" operator="greaterThanOrEqual">
      <formula>$Q$78</formula>
    </cfRule>
    <cfRule type="cellIs" dxfId="54" priority="71" operator="between">
      <formula>$T$78</formula>
      <formula>$Q$78</formula>
    </cfRule>
    <cfRule type="cellIs" dxfId="53" priority="72" operator="lessThan">
      <formula>$T$78</formula>
    </cfRule>
  </conditionalFormatting>
  <conditionalFormatting sqref="N78:N87">
    <cfRule type="cellIs" dxfId="52" priority="4" operator="equal">
      <formula>0</formula>
    </cfRule>
  </conditionalFormatting>
  <conditionalFormatting sqref="N79">
    <cfRule type="cellIs" dxfId="51" priority="67" operator="greaterThanOrEqual">
      <formula>$Q$79</formula>
    </cfRule>
    <cfRule type="cellIs" dxfId="50" priority="69" operator="lessThan">
      <formula>$T$79</formula>
    </cfRule>
    <cfRule type="cellIs" dxfId="49" priority="68" operator="between">
      <formula>$T$79</formula>
      <formula>$Q$79</formula>
    </cfRule>
  </conditionalFormatting>
  <conditionalFormatting sqref="N80">
    <cfRule type="cellIs" dxfId="48" priority="66" operator="lessThan">
      <formula>$T$80</formula>
    </cfRule>
    <cfRule type="cellIs" dxfId="47" priority="65" operator="between">
      <formula>$T$80</formula>
      <formula>$Q$80</formula>
    </cfRule>
    <cfRule type="cellIs" dxfId="46" priority="64" operator="greaterThanOrEqual">
      <formula>$Q$80</formula>
    </cfRule>
  </conditionalFormatting>
  <conditionalFormatting sqref="N81">
    <cfRule type="cellIs" dxfId="45" priority="63" operator="lessThan">
      <formula>$T$81</formula>
    </cfRule>
    <cfRule type="cellIs" dxfId="44" priority="62" operator="between">
      <formula>$T$81</formula>
      <formula>$Q$81</formula>
    </cfRule>
    <cfRule type="cellIs" dxfId="43" priority="61" operator="greaterThanOrEqual">
      <formula>$Q$81</formula>
    </cfRule>
  </conditionalFormatting>
  <conditionalFormatting sqref="N82">
    <cfRule type="cellIs" dxfId="42" priority="60" operator="lessThan">
      <formula>$T$82</formula>
    </cfRule>
    <cfRule type="cellIs" dxfId="41" priority="59" operator="between">
      <formula>$T$82</formula>
      <formula>$Q$82</formula>
    </cfRule>
    <cfRule type="cellIs" dxfId="40" priority="58" operator="greaterThanOrEqual">
      <formula>$Q$82</formula>
    </cfRule>
  </conditionalFormatting>
  <conditionalFormatting sqref="N83">
    <cfRule type="cellIs" dxfId="39" priority="57" operator="lessThan">
      <formula>$T$83</formula>
    </cfRule>
    <cfRule type="cellIs" dxfId="38" priority="56" operator="between">
      <formula>$T$83</formula>
      <formula>$Q$83</formula>
    </cfRule>
    <cfRule type="cellIs" dxfId="37" priority="55" operator="greaterThanOrEqual">
      <formula>$Q$83</formula>
    </cfRule>
  </conditionalFormatting>
  <conditionalFormatting sqref="N84">
    <cfRule type="cellIs" dxfId="36" priority="54" operator="lessThan">
      <formula>$T$84</formula>
    </cfRule>
    <cfRule type="cellIs" dxfId="35" priority="53" operator="between">
      <formula>$T$84</formula>
      <formula>$Q$84</formula>
    </cfRule>
    <cfRule type="cellIs" dxfId="34" priority="52" operator="greaterThanOrEqual">
      <formula>$Q$84</formula>
    </cfRule>
  </conditionalFormatting>
  <conditionalFormatting sqref="N85">
    <cfRule type="cellIs" dxfId="33" priority="51" operator="lessThan">
      <formula>$T$85</formula>
    </cfRule>
    <cfRule type="cellIs" dxfId="32" priority="50" operator="between">
      <formula>$T$85</formula>
      <formula>$Q$85</formula>
    </cfRule>
    <cfRule type="cellIs" dxfId="31" priority="49" operator="greaterThanOrEqual">
      <formula>$Q$85</formula>
    </cfRule>
  </conditionalFormatting>
  <conditionalFormatting sqref="N86">
    <cfRule type="cellIs" dxfId="30" priority="48" operator="lessThan">
      <formula>$T$86</formula>
    </cfRule>
    <cfRule type="cellIs" dxfId="29" priority="47" operator="between">
      <formula>$T$86</formula>
      <formula>$Q$86</formula>
    </cfRule>
    <cfRule type="cellIs" dxfId="28" priority="46" operator="greaterThanOrEqual">
      <formula>$Q$86</formula>
    </cfRule>
  </conditionalFormatting>
  <conditionalFormatting sqref="N87">
    <cfRule type="cellIs" dxfId="27" priority="45" operator="lessThan">
      <formula>$T$87</formula>
    </cfRule>
    <cfRule type="cellIs" dxfId="26" priority="44" operator="between">
      <formula>$T$87</formula>
      <formula>$Q$87</formula>
    </cfRule>
    <cfRule type="cellIs" dxfId="25" priority="43" operator="greaterThanOrEqual">
      <formula>$Q$87</formula>
    </cfRule>
  </conditionalFormatting>
  <conditionalFormatting sqref="N115">
    <cfRule type="cellIs" dxfId="24" priority="32" operator="greaterThanOrEqual">
      <formula>$Q$115</formula>
    </cfRule>
    <cfRule type="cellIs" dxfId="23" priority="109" stopIfTrue="1" operator="between">
      <formula>$T$115</formula>
      <formula>$Q$115</formula>
    </cfRule>
    <cfRule type="cellIs" dxfId="22" priority="108" stopIfTrue="1" operator="lessThan">
      <formula>$T$115</formula>
    </cfRule>
  </conditionalFormatting>
  <conditionalFormatting sqref="N117">
    <cfRule type="cellIs" dxfId="21" priority="31" operator="greaterThanOrEqual">
      <formula>$Q$117</formula>
    </cfRule>
    <cfRule type="cellIs" dxfId="20" priority="106" stopIfTrue="1" operator="lessThanOrEqual">
      <formula>$T$117</formula>
    </cfRule>
    <cfRule type="cellIs" dxfId="19" priority="107" stopIfTrue="1" operator="between">
      <formula>$T$117</formula>
      <formula>$Q$117</formula>
    </cfRule>
  </conditionalFormatting>
  <conditionalFormatting sqref="N121">
    <cfRule type="cellIs" dxfId="18" priority="27" operator="lessThanOrEqual">
      <formula>$Q$121</formula>
    </cfRule>
    <cfRule type="cellIs" dxfId="17" priority="122" stopIfTrue="1" operator="greaterThan">
      <formula>$T$121</formula>
    </cfRule>
    <cfRule type="cellIs" dxfId="16" priority="123" stopIfTrue="1" operator="between">
      <formula>$Q$121</formula>
      <formula>$T$121</formula>
    </cfRule>
  </conditionalFormatting>
  <conditionalFormatting sqref="N126">
    <cfRule type="cellIs" dxfId="15" priority="110" stopIfTrue="1" operator="lessThan">
      <formula>$T$126</formula>
    </cfRule>
    <cfRule type="cellIs" dxfId="14" priority="111" stopIfTrue="1" operator="between">
      <formula>$T$126</formula>
      <formula>$Q$126</formula>
    </cfRule>
    <cfRule type="cellIs" dxfId="13" priority="30" operator="greaterThanOrEqual">
      <formula>$Q$126</formula>
    </cfRule>
  </conditionalFormatting>
  <conditionalFormatting sqref="N131">
    <cfRule type="cellIs" dxfId="12" priority="112" stopIfTrue="1" operator="lessThan">
      <formula>$T$131</formula>
    </cfRule>
    <cfRule type="cellIs" dxfId="11" priority="113" stopIfTrue="1" operator="between">
      <formula>$T$131</formula>
      <formula>$Q$131</formula>
    </cfRule>
    <cfRule type="cellIs" dxfId="10" priority="29" operator="greaterThanOrEqual">
      <formula>$Q$131</formula>
    </cfRule>
  </conditionalFormatting>
  <conditionalFormatting sqref="N136">
    <cfRule type="cellIs" dxfId="9" priority="114" stopIfTrue="1" operator="lessThan">
      <formula>$T$136</formula>
    </cfRule>
    <cfRule type="cellIs" dxfId="8" priority="28" operator="greaterThan">
      <formula>$Q$136</formula>
    </cfRule>
    <cfRule type="cellIs" dxfId="7" priority="115" stopIfTrue="1" operator="between">
      <formula>$T$136</formula>
      <formula>$Q$136</formula>
    </cfRule>
  </conditionalFormatting>
  <conditionalFormatting sqref="P12:R13">
    <cfRule type="cellIs" dxfId="6" priority="104" operator="equal">
      <formula>0</formula>
    </cfRule>
  </conditionalFormatting>
  <conditionalFormatting sqref="Q57">
    <cfRule type="cellIs" dxfId="5" priority="36" operator="equal">
      <formula>0</formula>
    </cfRule>
  </conditionalFormatting>
  <conditionalFormatting sqref="Q61">
    <cfRule type="cellIs" dxfId="4" priority="42" operator="equal">
      <formula>0</formula>
    </cfRule>
  </conditionalFormatting>
  <conditionalFormatting sqref="Q65:Q74">
    <cfRule type="cellIs" dxfId="3" priority="101" operator="equal">
      <formula>0</formula>
    </cfRule>
  </conditionalFormatting>
  <conditionalFormatting sqref="Q78:Q87">
    <cfRule type="cellIs" dxfId="2" priority="73" operator="equal">
      <formula>0</formula>
    </cfRule>
  </conditionalFormatting>
  <conditionalFormatting sqref="W21">
    <cfRule type="cellIs" dxfId="1" priority="2" operator="equal">
      <formula>0</formula>
    </cfRule>
  </conditionalFormatting>
  <conditionalFormatting sqref="X22">
    <cfRule type="cellIs" dxfId="0" priority="1" operator="equal">
      <formula>0</formula>
    </cfRule>
  </conditionalFormatting>
  <printOptions horizontalCentered="1"/>
  <pageMargins left="0.19685039370078741" right="0.19685039370078741" top="0.19685039370078741" bottom="0.39370078740157483" header="0" footer="0.19685039370078741"/>
  <pageSetup paperSize="8" scale="57" orientation="portrait" r:id="rId1"/>
  <headerFooter>
    <oddFooter>&amp;LChambre d'Agriculture de l'Yonne / Agroéquipements&amp;CDiagnostic FLASH'MECA&amp;R&amp;D  /  &amp;F  /  &amp;A</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Typologie EA</vt:lpstr>
      <vt:lpstr>Classement EA</vt:lpstr>
      <vt:lpstr>Références Mécanisation</vt:lpstr>
      <vt:lpstr>Références Récolte Herbe</vt:lpstr>
      <vt:lpstr>Références Récolte COP</vt:lpstr>
      <vt:lpstr>Calcul FLASH'MECA</vt:lpstr>
      <vt:lpstr>Exemple</vt:lpstr>
      <vt:lpstr>'Calcul FLASH''MECA'!Zone_d_impression</vt:lpstr>
      <vt:lpstr>Exemple!Zone_d_impression</vt:lpstr>
    </vt:vector>
  </TitlesOfParts>
  <Company>Chambre d'agriculture de l'Yonne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Wylleman</dc:creator>
  <cp:lastModifiedBy>Richard WYLLEMAN</cp:lastModifiedBy>
  <cp:lastPrinted>2025-02-03T09:10:00Z</cp:lastPrinted>
  <dcterms:created xsi:type="dcterms:W3CDTF">2015-02-09T08:35:42Z</dcterms:created>
  <dcterms:modified xsi:type="dcterms:W3CDTF">2025-02-03T09:25:18Z</dcterms:modified>
</cp:coreProperties>
</file>