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hidePivotFieldList="1"/>
  <xr:revisionPtr revIDLastSave="0" documentId="13_ncr:1_{484A9067-E802-4713-B4EA-A28214A08AAE}" xr6:coauthVersionLast="47" xr6:coauthVersionMax="47" xr10:uidLastSave="{00000000-0000-0000-0000-000000000000}"/>
  <bookViews>
    <workbookView xWindow="-28920" yWindow="-975" windowWidth="29040" windowHeight="15720" tabRatio="868" xr2:uid="{00000000-000D-0000-FFFF-FFFF00000000}"/>
  </bookViews>
  <sheets>
    <sheet name="Exploitation" sheetId="1" r:id="rId1"/>
    <sheet name=" Elevage" sheetId="2" r:id="rId2"/>
    <sheet name="Produit ovin" sheetId="3" r:id="rId3"/>
    <sheet name="Charges ovin" sheetId="4" r:id="rId4"/>
    <sheet name="Stock et ration " sheetId="13" r:id="rId5"/>
    <sheet name="Autres atelier" sheetId="15" r:id="rId6"/>
    <sheet name="Grandes cultures" sheetId="25" r:id="rId7"/>
    <sheet name="Charges de structure" sheetId="6" r:id="rId8"/>
    <sheet name="Amortissements" sheetId="7" r:id="rId9"/>
    <sheet name="Aides" sheetId="10" r:id="rId10"/>
    <sheet name="Extraction chambre" sheetId="18" r:id="rId11"/>
    <sheet name="Bilan complet" sheetId="17" r:id="rId12"/>
    <sheet name="Bilan simplifié" sheetId="16" r:id="rId13"/>
    <sheet name="Coût de production" sheetId="26" r:id="rId14"/>
    <sheet name="Aide diapason" sheetId="9" r:id="rId15"/>
    <sheet name="Calcule" sheetId="14" r:id="rId16"/>
    <sheet name="Références" sheetId="12" r:id="rId17"/>
    <sheet name="(TOV1) Export Achat" sheetId="19" r:id="rId18"/>
    <sheet name="(TOV1) Export ventes" sheetId="21" r:id="rId19"/>
    <sheet name="(TOV1) Export reproduction" sheetId="23" r:id="rId20"/>
    <sheet name="(TOV1)Export variation de stock" sheetId="20" r:id="rId21"/>
  </sheets>
  <definedNames>
    <definedName name="________mb1">#REF!</definedName>
    <definedName name="________mb2">#REF!</definedName>
    <definedName name="________mb3">#REF!</definedName>
    <definedName name="________mb4">#REF!</definedName>
    <definedName name="________mb5">#REF!</definedName>
    <definedName name="________mb6">#REF!</definedName>
    <definedName name="________mb7">#REF!</definedName>
    <definedName name="________mb8">#REF!</definedName>
    <definedName name="________mb9">#REF!</definedName>
    <definedName name="_______mb1" localSheetId="19">#REF!</definedName>
    <definedName name="_______mb2" localSheetId="19">#REF!</definedName>
    <definedName name="_______mb3" localSheetId="19">#REF!</definedName>
    <definedName name="_______mb4" localSheetId="19">#REF!</definedName>
    <definedName name="_______mb5" localSheetId="19">#REF!</definedName>
    <definedName name="_______mb6" localSheetId="19">#REF!</definedName>
    <definedName name="_______mb7" localSheetId="19">#REF!</definedName>
    <definedName name="_______mb8" localSheetId="19">#REF!</definedName>
    <definedName name="_______mb9" localSheetId="19">#REF!</definedName>
    <definedName name="______mb1">#REF!</definedName>
    <definedName name="______mb2">#REF!</definedName>
    <definedName name="______mb3">#REF!</definedName>
    <definedName name="______mb4">#REF!</definedName>
    <definedName name="______mb5">#REF!</definedName>
    <definedName name="______mb6">#REF!</definedName>
    <definedName name="______mb7">#REF!</definedName>
    <definedName name="______mb8">#REF!</definedName>
    <definedName name="______mb9">#REF!</definedName>
    <definedName name="_____mb1" localSheetId="18">#REF!</definedName>
    <definedName name="_____mb2" localSheetId="18">#REF!</definedName>
    <definedName name="_____mb3" localSheetId="18">#REF!</definedName>
    <definedName name="_____mb4" localSheetId="18">#REF!</definedName>
    <definedName name="_____mb5" localSheetId="18">#REF!</definedName>
    <definedName name="_____mb6" localSheetId="18">#REF!</definedName>
    <definedName name="_____mb7" localSheetId="18">#REF!</definedName>
    <definedName name="_____mb8" localSheetId="18">#REF!</definedName>
    <definedName name="_____mb9" localSheetId="18">#REF!</definedName>
    <definedName name="____mb1">#REF!</definedName>
    <definedName name="____mb2">#REF!</definedName>
    <definedName name="____mb3">#REF!</definedName>
    <definedName name="____mb4">#REF!</definedName>
    <definedName name="____mb5">#REF!</definedName>
    <definedName name="____mb6">#REF!</definedName>
    <definedName name="____mb7">#REF!</definedName>
    <definedName name="____mb8">#REF!</definedName>
    <definedName name="____mb9">#REF!</definedName>
    <definedName name="___mb1">#REF!</definedName>
    <definedName name="___mb2">#REF!</definedName>
    <definedName name="___mb3">#REF!</definedName>
    <definedName name="___mb4">#REF!</definedName>
    <definedName name="___mb5">#REF!</definedName>
    <definedName name="___mb6">#REF!</definedName>
    <definedName name="___mb7">#REF!</definedName>
    <definedName name="___mb8">#REF!</definedName>
    <definedName name="___mb9">#REF!</definedName>
    <definedName name="__mb1" localSheetId="19">#REF!</definedName>
    <definedName name="__mb1" localSheetId="18">#REF!</definedName>
    <definedName name="__mb1">#REF!</definedName>
    <definedName name="__mb2" localSheetId="19">#REF!</definedName>
    <definedName name="__mb2" localSheetId="18">#REF!</definedName>
    <definedName name="__mb2">#REF!</definedName>
    <definedName name="__mb3" localSheetId="19">#REF!</definedName>
    <definedName name="__mb3" localSheetId="18">#REF!</definedName>
    <definedName name="__mb3">#REF!</definedName>
    <definedName name="__mb4" localSheetId="19">#REF!</definedName>
    <definedName name="__mb4" localSheetId="18">#REF!</definedName>
    <definedName name="__mb4">#REF!</definedName>
    <definedName name="__mb5" localSheetId="19">#REF!</definedName>
    <definedName name="__mb5" localSheetId="18">#REF!</definedName>
    <definedName name="__mb5">#REF!</definedName>
    <definedName name="__mb6" localSheetId="19">#REF!</definedName>
    <definedName name="__mb6" localSheetId="18">#REF!</definedName>
    <definedName name="__mb6">#REF!</definedName>
    <definedName name="__mb7" localSheetId="19">#REF!</definedName>
    <definedName name="__mb7" localSheetId="18">#REF!</definedName>
    <definedName name="__mb7">#REF!</definedName>
    <definedName name="__mb8" localSheetId="19">#REF!</definedName>
    <definedName name="__mb8" localSheetId="18">#REF!</definedName>
    <definedName name="__mb8">#REF!</definedName>
    <definedName name="__mb9" localSheetId="19">#REF!</definedName>
    <definedName name="__mb9" localSheetId="18">#REF!</definedName>
    <definedName name="__mb9">#REF!</definedName>
    <definedName name="_mb1" localSheetId="19">#REF!</definedName>
    <definedName name="_mb1" localSheetId="18">#REF!</definedName>
    <definedName name="_mb1">#REF!</definedName>
    <definedName name="_mb2" localSheetId="19">#REF!</definedName>
    <definedName name="_mb2" localSheetId="18">#REF!</definedName>
    <definedName name="_mb2">#REF!</definedName>
    <definedName name="_mb3" localSheetId="19">#REF!</definedName>
    <definedName name="_mb3" localSheetId="18">#REF!</definedName>
    <definedName name="_mb3">#REF!</definedName>
    <definedName name="_mb4" localSheetId="19">#REF!</definedName>
    <definedName name="_mb4" localSheetId="18">#REF!</definedName>
    <definedName name="_mb4">#REF!</definedName>
    <definedName name="_mb5" localSheetId="19">#REF!</definedName>
    <definedName name="_mb5" localSheetId="18">#REF!</definedName>
    <definedName name="_mb5">#REF!</definedName>
    <definedName name="_mb6" localSheetId="19">#REF!</definedName>
    <definedName name="_mb6" localSheetId="18">#REF!</definedName>
    <definedName name="_mb6">#REF!</definedName>
    <definedName name="_mb7" localSheetId="19">#REF!</definedName>
    <definedName name="_mb7" localSheetId="18">#REF!</definedName>
    <definedName name="_mb7">#REF!</definedName>
    <definedName name="_mb8" localSheetId="19">#REF!</definedName>
    <definedName name="_mb8" localSheetId="18">#REF!</definedName>
    <definedName name="_mb8">#REF!</definedName>
    <definedName name="_mb9" localSheetId="19">#REF!</definedName>
    <definedName name="_mb9" localSheetId="18">#REF!</definedName>
    <definedName name="_mb9">#REF!</definedName>
    <definedName name="A1_assol" localSheetId="19">#REF!</definedName>
    <definedName name="A1_assol" localSheetId="18">#REF!</definedName>
    <definedName name="A1_assol">#REF!</definedName>
    <definedName name="A1_cheptel" localSheetId="19">#REF!</definedName>
    <definedName name="A1_cheptel" localSheetId="18">#REF!</definedName>
    <definedName name="A1_cheptel">#REF!</definedName>
    <definedName name="A1_DPU" localSheetId="19">#REF!</definedName>
    <definedName name="A1_DPU" localSheetId="18">#REF!</definedName>
    <definedName name="A1_DPU">#REF!</definedName>
    <definedName name="aaef">#REF!</definedName>
    <definedName name="aaen">#REF!</definedName>
    <definedName name="AAMG" localSheetId="19">#REF!</definedName>
    <definedName name="AAMG" localSheetId="18">#REF!</definedName>
    <definedName name="AAMG">#REF!</definedName>
    <definedName name="AAOV" localSheetId="19">#REF!</definedName>
    <definedName name="AAOV" localSheetId="18">#REF!</definedName>
    <definedName name="AAOV">#REF!</definedName>
    <definedName name="aauf">#REF!</definedName>
    <definedName name="aaun">#REF!</definedName>
    <definedName name="ACAU" localSheetId="19">#REF!</definedName>
    <definedName name="ACAU" localSheetId="18">#REF!</definedName>
    <definedName name="ACAU">#REF!</definedName>
    <definedName name="ACCINTOV" localSheetId="19">#REF!</definedName>
    <definedName name="ACCINTOV" localSheetId="18">#REF!</definedName>
    <definedName name="ACCINTOV">#REF!</definedName>
    <definedName name="ACF" localSheetId="19">#REF!</definedName>
    <definedName name="ACF" localSheetId="18">#REF!</definedName>
    <definedName name="ACF">#REF!</definedName>
    <definedName name="ACFOU" localSheetId="19">#REF!</definedName>
    <definedName name="ACFOU" localSheetId="18">#REF!</definedName>
    <definedName name="ACFOU">#REF!</definedName>
    <definedName name="ACFOUOV" localSheetId="19">#REF!</definedName>
    <definedName name="ACFOUOV" localSheetId="18">#REF!</definedName>
    <definedName name="ACFOUOV">#REF!</definedName>
    <definedName name="ACOP" localSheetId="19">#REF!</definedName>
    <definedName name="ACOP" localSheetId="18">#REF!</definedName>
    <definedName name="ACOP">#REF!</definedName>
    <definedName name="ACOV" localSheetId="19">#REF!</definedName>
    <definedName name="ACOV" localSheetId="18">#REF!</definedName>
    <definedName name="ACOV">#REF!</definedName>
    <definedName name="ACV" localSheetId="19">#REF!</definedName>
    <definedName name="ACV" localSheetId="18">#REF!</definedName>
    <definedName name="ACV">#REF!</definedName>
    <definedName name="ACVECF" localSheetId="19">#REF!</definedName>
    <definedName name="ACVECF" localSheetId="18">#REF!</definedName>
    <definedName name="ACVECF">#REF!</definedName>
    <definedName name="ACVEG" localSheetId="19">#REF!</definedName>
    <definedName name="ACVEG" localSheetId="18">#REF!</definedName>
    <definedName name="ACVEG">#REF!</definedName>
    <definedName name="ACVEGCF" localSheetId="19">#REF!</definedName>
    <definedName name="ACVEGCF" localSheetId="18">#REF!</definedName>
    <definedName name="ACVEGCF">#REF!</definedName>
    <definedName name="ACVEGCP" localSheetId="19">#REF!</definedName>
    <definedName name="ACVEGCP" localSheetId="18">#REF!</definedName>
    <definedName name="ACVEGCP">#REF!</definedName>
    <definedName name="ACVEGCS" localSheetId="19">#REF!</definedName>
    <definedName name="ACVEGCS" localSheetId="18">#REF!</definedName>
    <definedName name="ACVEGCS">#REF!</definedName>
    <definedName name="ACVEGCV" localSheetId="19">#REF!</definedName>
    <definedName name="ACVEGCV" localSheetId="18">#REF!</definedName>
    <definedName name="ACVEGCV">#REF!</definedName>
    <definedName name="ACVEGF" localSheetId="19">#REF!</definedName>
    <definedName name="ACVEGF" localSheetId="18">#REF!</definedName>
    <definedName name="ACVEGF">#REF!</definedName>
    <definedName name="ACVEGH" localSheetId="19">#REF!</definedName>
    <definedName name="ACVEGH" localSheetId="18">#REF!</definedName>
    <definedName name="ACVEGH">#REF!</definedName>
    <definedName name="ACVEGSFP" localSheetId="19">#REF!</definedName>
    <definedName name="ACVEGSFP" localSheetId="18">#REF!</definedName>
    <definedName name="ACVEGSFP">#REF!</definedName>
    <definedName name="ACVEGSFPOV" localSheetId="19">#REF!</definedName>
    <definedName name="ACVEGSFPOV" localSheetId="18">#REF!</definedName>
    <definedName name="ACVEGSFPOV">#REF!</definedName>
    <definedName name="ACVEGSH" localSheetId="19">#REF!</definedName>
    <definedName name="ACVEGSH" localSheetId="18">#REF!</definedName>
    <definedName name="ACVEGSH">#REF!</definedName>
    <definedName name="ADANI" localSheetId="19">#REF!</definedName>
    <definedName name="ADANI" localSheetId="18">#REF!</definedName>
    <definedName name="ADANI">#REF!</definedName>
    <definedName name="adlf">#REF!</definedName>
    <definedName name="adlk">#REF!</definedName>
    <definedName name="adln">#REF!</definedName>
    <definedName name="ADNONA" localSheetId="19">#REF!</definedName>
    <definedName name="ADNONA" localSheetId="18">#REF!</definedName>
    <definedName name="ADNONA">#REF!</definedName>
    <definedName name="ADPU" localSheetId="19">#REF!</definedName>
    <definedName name="ADPU" localSheetId="18">#REF!</definedName>
    <definedName name="ADPU">#REF!</definedName>
    <definedName name="afficheration" localSheetId="19">#REF!</definedName>
    <definedName name="afficheration" localSheetId="18">#REF!</definedName>
    <definedName name="afficheration">#REF!</definedName>
    <definedName name="affichevaleur" localSheetId="19">#REF!</definedName>
    <definedName name="affichevaleur" localSheetId="18">#REF!</definedName>
    <definedName name="affichevaleur">#REF!</definedName>
    <definedName name="albf">#REF!</definedName>
    <definedName name="albk">#REF!</definedName>
    <definedName name="albn">#REF!</definedName>
    <definedName name="alef">#REF!</definedName>
    <definedName name="alen">#REF!</definedName>
    <definedName name="alep">#REF!</definedName>
    <definedName name="alhf">#REF!</definedName>
    <definedName name="alhk">#REF!</definedName>
    <definedName name="alhn">#REF!</definedName>
    <definedName name="alif">#REF!</definedName>
    <definedName name="alik">#REF!</definedName>
    <definedName name="alin">#REF!</definedName>
    <definedName name="amaf">#REF!</definedName>
    <definedName name="amak">#REF!</definedName>
    <definedName name="aman">#REF!</definedName>
    <definedName name="amef">#REF!</definedName>
    <definedName name="AMORTAMEF" localSheetId="19">#REF!</definedName>
    <definedName name="AMORTAMEF" localSheetId="18">#REF!</definedName>
    <definedName name="AMORTAMEF">#REF!</definedName>
    <definedName name="AMORTAUT" localSheetId="19">#REF!</definedName>
    <definedName name="AMORTAUT" localSheetId="18">#REF!</definedName>
    <definedName name="AMORTAUT">#REF!</definedName>
    <definedName name="AMORTBAT" localSheetId="19">#REF!</definedName>
    <definedName name="AMORTBAT" localSheetId="18">#REF!</definedName>
    <definedName name="AMORTBAT">#REF!</definedName>
    <definedName name="AMORTBATOV" localSheetId="19">#REF!</definedName>
    <definedName name="AMORTBATOV" localSheetId="18">#REF!</definedName>
    <definedName name="AMORTBATOV">#REF!</definedName>
    <definedName name="AMORTMAT" localSheetId="19">#REF!</definedName>
    <definedName name="AMORTMAT" localSheetId="18">#REF!</definedName>
    <definedName name="AMORTMAT">#REF!</definedName>
    <definedName name="Annual_interest_rate">#REF!</definedName>
    <definedName name="AREP" localSheetId="19">#REF!</definedName>
    <definedName name="AREP" localSheetId="18">#REF!</definedName>
    <definedName name="AREP">#REF!</definedName>
    <definedName name="Assol_COP" localSheetId="19">#REF!,#REF!,#REF!,#REF!,#REF!,#REF!</definedName>
    <definedName name="Assol_COP" localSheetId="18">#REF!,#REF!,#REF!,#REF!,#REF!,#REF!</definedName>
    <definedName name="Assol_COP">#REF!,#REF!,#REF!,#REF!,#REF!,#REF!</definedName>
    <definedName name="Assol_Four_AU" localSheetId="19">#REF!,#REF!,#REF!,#REF!</definedName>
    <definedName name="Assol_Four_AU" localSheetId="18">#REF!,#REF!,#REF!,#REF!</definedName>
    <definedName name="Assol_Four_AU">#REF!,#REF!,#REF!,#REF!</definedName>
    <definedName name="assolement" localSheetId="19">#REF!</definedName>
    <definedName name="assolement" localSheetId="18">#REF!</definedName>
    <definedName name="assolement">#REF!</definedName>
    <definedName name="augb">#REF!</definedName>
    <definedName name="autof" localSheetId="19">#REF!</definedName>
    <definedName name="autof" localSheetId="18">#REF!</definedName>
    <definedName name="autof">#REF!</definedName>
    <definedName name="autp">#REF!</definedName>
    <definedName name="Beg.Bal">IF(#REF!&lt;&gt;"",#REF!,"")</definedName>
    <definedName name="BLsys" localSheetId="19">#REF!</definedName>
    <definedName name="BLsys" localSheetId="18">#REF!</definedName>
    <definedName name="BLsys">#REF!</definedName>
    <definedName name="bola">#REF!</definedName>
    <definedName name="bovi">#REF!</definedName>
    <definedName name="brin">#REF!</definedName>
    <definedName name="BRUT">#REF!</definedName>
    <definedName name="BVsys" localSheetId="19">#REF!</definedName>
    <definedName name="BVsys" localSheetId="18">#REF!</definedName>
    <definedName name="BVsys">#REF!</definedName>
    <definedName name="cacf">#REF!</definedName>
    <definedName name="cack">#REF!</definedName>
    <definedName name="CAMP" localSheetId="19">#REF!</definedName>
    <definedName name="CAMP" localSheetId="18">#REF!</definedName>
    <definedName name="CAMP">#REF!</definedName>
    <definedName name="CAP" localSheetId="19">#REF!</definedName>
    <definedName name="CAP" localSheetId="18">#REF!</definedName>
    <definedName name="CAP">#REF!</definedName>
    <definedName name="capr">#REF!</definedName>
    <definedName name="CARBU" localSheetId="19">#REF!</definedName>
    <definedName name="CARBU" localSheetId="18">#REF!</definedName>
    <definedName name="CARBU">#REF!</definedName>
    <definedName name="cdve">#REF!</definedName>
    <definedName name="cepq">#REF!</definedName>
    <definedName name="cept">#REF!</definedName>
    <definedName name="CF" localSheetId="19">#REF!</definedName>
    <definedName name="CF" localSheetId="18">#REF!</definedName>
    <definedName name="CF">#REF!</definedName>
    <definedName name="CFOV">#REF!</definedName>
    <definedName name="CHAREXCL" localSheetId="19">#REF!</definedName>
    <definedName name="CHAREXCL" localSheetId="18">#REF!</definedName>
    <definedName name="CHAREXCL">#REF!</definedName>
    <definedName name="Cheptel" localSheetId="19">#REF!,#REF!,#REF!</definedName>
    <definedName name="Cheptel" localSheetId="18">#REF!,#REF!,#REF!</definedName>
    <definedName name="Cheptel">#REF!,#REF!,#REF!</definedName>
    <definedName name="Cle_BL">#REF!</definedName>
    <definedName name="Cle_BV">#REF!</definedName>
    <definedName name="Cle_CL">#REF!</definedName>
    <definedName name="Cle_CP">#REF!</definedName>
    <definedName name="Cle_CS">#REF!</definedName>
    <definedName name="Cle_Eq">#REF!</definedName>
    <definedName name="Cle_GCU">#REF!</definedName>
    <definedName name="Cle_MF">#REF!</definedName>
    <definedName name="Cle_OL">#REF!</definedName>
    <definedName name="Cle_OV">#REF!</definedName>
    <definedName name="CLsys" localSheetId="19">#REF!</definedName>
    <definedName name="CLsys" localSheetId="18">#REF!</definedName>
    <definedName name="CLsys">#REF!</definedName>
    <definedName name="CM" localSheetId="19">#REF!</definedName>
    <definedName name="CM" localSheetId="18">#REF!</definedName>
    <definedName name="CM">#REF!</definedName>
    <definedName name="CMOV" localSheetId="19">#REF!</definedName>
    <definedName name="CMOV" localSheetId="18">#REF!</definedName>
    <definedName name="CMOV">#REF!</definedName>
    <definedName name="COCS">#REF!</definedName>
    <definedName name="compteresultat" localSheetId="19">#REF!</definedName>
    <definedName name="compteresultat" localSheetId="18">#REF!</definedName>
    <definedName name="compteresultat">#REF!</definedName>
    <definedName name="COPROD" localSheetId="19">#REF!</definedName>
    <definedName name="COPROD" localSheetId="18">#REF!</definedName>
    <definedName name="COPROD">#REF!</definedName>
    <definedName name="cotf">#REF!</definedName>
    <definedName name="CP" localSheetId="19">#REF!</definedName>
    <definedName name="CP" localSheetId="18">#REF!</definedName>
    <definedName name="CP">#REF!</definedName>
    <definedName name="cper">#REF!</definedName>
    <definedName name="cprk">#REF!</definedName>
    <definedName name="cptederesultat" localSheetId="19">#REF!</definedName>
    <definedName name="cptederesultat" localSheetId="18">#REF!</definedName>
    <definedName name="cptederesultat">#REF!</definedName>
    <definedName name="CS" localSheetId="19">#REF!</definedName>
    <definedName name="CS" localSheetId="18">#REF!</definedName>
    <definedName name="CS">#REF!</definedName>
    <definedName name="cspe">#REF!</definedName>
    <definedName name="Cum.Interest">IF(#REF!&lt;&gt;"",#REF!+#REF!,"")</definedName>
    <definedName name="CV" localSheetId="19">#REF!</definedName>
    <definedName name="CV" localSheetId="18">#REF!</definedName>
    <definedName name="CV">#REF!</definedName>
    <definedName name="CVEN" localSheetId="19">#REF!</definedName>
    <definedName name="CVEN" localSheetId="18">#REF!</definedName>
    <definedName name="CVEN">#REF!</definedName>
    <definedName name="CVOV" localSheetId="19">#REF!</definedName>
    <definedName name="CVOV" localSheetId="18">#REF!</definedName>
    <definedName name="CVOV">#REF!</definedName>
    <definedName name="D_HS">#REF!</definedName>
    <definedName name="D_MBSA">#REF!</definedName>
    <definedName name="D_MBSV">#REF!</definedName>
    <definedName name="dabf">#REF!</definedName>
    <definedName name="dabn">#REF!</definedName>
    <definedName name="dagf">#REF!</definedName>
    <definedName name="dagn">#REF!</definedName>
    <definedName name="date" localSheetId="19">#REF!</definedName>
    <definedName name="date" localSheetId="18">#REF!</definedName>
    <definedName name="date">#REF!</definedName>
    <definedName name="DATEVER">#REF!</definedName>
    <definedName name="dbef">#REF!</definedName>
    <definedName name="dben">#REF!</definedName>
    <definedName name="dbrf">#REF!</definedName>
    <definedName name="dbrn">#REF!</definedName>
    <definedName name="dfvf">#REF!</definedName>
    <definedName name="dfvn">#REF!</definedName>
    <definedName name="dmvf">#REF!</definedName>
    <definedName name="dmvn">#REF!</definedName>
    <definedName name="Dpt_reg">#REF!</definedName>
    <definedName name="EAU" localSheetId="19">#REF!</definedName>
    <definedName name="EAU" localSheetId="18">#REF!</definedName>
    <definedName name="EAU">#REF!</definedName>
    <definedName name="EBE" localSheetId="19">#REF!</definedName>
    <definedName name="EBE" localSheetId="18">#REF!</definedName>
    <definedName name="EBE">#REF!</definedName>
    <definedName name="EDF" localSheetId="19">#REF!</definedName>
    <definedName name="EDF" localSheetId="18">#REF!</definedName>
    <definedName name="EDF">#REF!</definedName>
    <definedName name="empr">#REF!</definedName>
    <definedName name="Ending.Balance">IF(#REF!&lt;&gt;"",#REF!-#REF!,"")</definedName>
    <definedName name="ENGA" localSheetId="19">#REF!</definedName>
    <definedName name="ENGA" localSheetId="18">#REF!</definedName>
    <definedName name="ENGA">#REF!</definedName>
    <definedName name="ENGACF" localSheetId="19">#REF!</definedName>
    <definedName name="ENGACF" localSheetId="18">#REF!</definedName>
    <definedName name="ENGACF">#REF!</definedName>
    <definedName name="ENGACINTOV" localSheetId="19">#REF!</definedName>
    <definedName name="ENGACINTOV" localSheetId="18">#REF!</definedName>
    <definedName name="ENGACINTOV">#REF!</definedName>
    <definedName name="ENGACP" localSheetId="19">#REF!</definedName>
    <definedName name="ENGACP" localSheetId="18">#REF!</definedName>
    <definedName name="ENGACP">#REF!</definedName>
    <definedName name="ENGACS" localSheetId="19">#REF!</definedName>
    <definedName name="ENGACS" localSheetId="18">#REF!</definedName>
    <definedName name="ENGACS">#REF!</definedName>
    <definedName name="ENGACV" localSheetId="19">#REF!</definedName>
    <definedName name="ENGACV" localSheetId="18">#REF!</definedName>
    <definedName name="ENGACV">#REF!</definedName>
    <definedName name="ENGASFP" localSheetId="19">#REF!</definedName>
    <definedName name="ENGASFP" localSheetId="18">#REF!</definedName>
    <definedName name="ENGASFP">#REF!</definedName>
    <definedName name="ENGASFPOV" localSheetId="19">#REF!</definedName>
    <definedName name="ENGASFPOV" localSheetId="18">#REF!</definedName>
    <definedName name="ENGASFPOV">#REF!</definedName>
    <definedName name="ENGASH" localSheetId="19">#REF!</definedName>
    <definedName name="ENGASH" localSheetId="18">#REF!</definedName>
    <definedName name="ENGASH">#REF!</definedName>
    <definedName name="engf">#REF!</definedName>
    <definedName name="ENTBAT" localSheetId="19">#REF!</definedName>
    <definedName name="ENTBAT" localSheetId="18">#REF!</definedName>
    <definedName name="ENTBAT">#REF!</definedName>
    <definedName name="ENTMAT" localSheetId="19">#REF!</definedName>
    <definedName name="ENTMAT" localSheetId="18">#REF!</definedName>
    <definedName name="ENTMAT">#REF!</definedName>
    <definedName name="Eqsys" localSheetId="19">#REF!</definedName>
    <definedName name="Eqsys" localSheetId="18">#REF!</definedName>
    <definedName name="Eqsys">#REF!</definedName>
    <definedName name="EXP" localSheetId="19">#REF!</definedName>
    <definedName name="EXP" localSheetId="18">#REF!</definedName>
    <definedName name="EXP">#REF!</definedName>
    <definedName name="fabf">#REF!</definedName>
    <definedName name="fabn">#REF!</definedName>
    <definedName name="faff">#REF!</definedName>
    <definedName name="fafn">#REF!</definedName>
    <definedName name="fagn">#REF!</definedName>
    <definedName name="famf">#REF!</definedName>
    <definedName name="famn">#REF!</definedName>
    <definedName name="fben">#REF!</definedName>
    <definedName name="fbrn">#REF!</definedName>
    <definedName name="FELA" localSheetId="19">#REF!</definedName>
    <definedName name="FELA" localSheetId="18">#REF!</definedName>
    <definedName name="FELA">#REF!</definedName>
    <definedName name="FELAOV" localSheetId="19">#REF!</definedName>
    <definedName name="FELAOV" localSheetId="18">#REF!</definedName>
    <definedName name="FELAOV">#REF!</definedName>
    <definedName name="FELV" localSheetId="19">#REF!</definedName>
    <definedName name="FELV" localSheetId="18">#REF!</definedName>
    <definedName name="FELV">#REF!</definedName>
    <definedName name="FELVOV" localSheetId="19">#REF!</definedName>
    <definedName name="FELVOV" localSheetId="18">#REF!</definedName>
    <definedName name="FELVOV">#REF!</definedName>
    <definedName name="FERM" localSheetId="19">#REF!</definedName>
    <definedName name="FERM" localSheetId="18">#REF!</definedName>
    <definedName name="FERM">#REF!</definedName>
    <definedName name="FERMOP" localSheetId="19">#REF!</definedName>
    <definedName name="FERMOP" localSheetId="18">#REF!</definedName>
    <definedName name="FERMOP">#REF!</definedName>
    <definedName name="ffaf">#REF!</definedName>
    <definedName name="FFIN" localSheetId="19">#REF!</definedName>
    <definedName name="FFIN" localSheetId="18">#REF!</definedName>
    <definedName name="FFIN">#REF!</definedName>
    <definedName name="FFINOV" localSheetId="19">#REF!</definedName>
    <definedName name="FFINOV" localSheetId="18">#REF!</definedName>
    <definedName name="FFINOV">#REF!</definedName>
    <definedName name="ffvf">#REF!</definedName>
    <definedName name="ffvn">#REF!</definedName>
    <definedName name="First_payment_due">#REF!</definedName>
    <definedName name="fjff">#REF!</definedName>
    <definedName name="fjfn">#REF!</definedName>
    <definedName name="fjmf">#REF!</definedName>
    <definedName name="fjmn">#REF!</definedName>
    <definedName name="fmvf">#REF!</definedName>
    <definedName name="fmvn">#REF!</definedName>
    <definedName name="FORFMSA" localSheetId="19">#REF!</definedName>
    <definedName name="FORFMSA" localSheetId="18">#REF!</definedName>
    <definedName name="FORFMSA">#REF!</definedName>
    <definedName name="fouf">#REF!</definedName>
    <definedName name="foura">#REF!</definedName>
    <definedName name="fouro">#REF!</definedName>
    <definedName name="fref">#REF!</definedName>
    <definedName name="GCUsys" localSheetId="19">#REF!</definedName>
    <definedName name="GCUsys" localSheetId="18">#REF!</definedName>
    <definedName name="GCUsys">#REF!</definedName>
    <definedName name="GEST" localSheetId="19">#REF!</definedName>
    <definedName name="GEST" localSheetId="18">#REF!</definedName>
    <definedName name="GEST">#REF!</definedName>
    <definedName name="iass">#REF!</definedName>
    <definedName name="ICP">#REF!</definedName>
    <definedName name="IF" localSheetId="19">#REF!</definedName>
    <definedName name="IF" localSheetId="18">#REF!</definedName>
    <definedName name="IF">#REF!</definedName>
    <definedName name="inse">#REF!</definedName>
    <definedName name="Interest" localSheetId="17">IF(#REF!&lt;&gt;"",#REF!*'(TOV1) Export Achat'!Periodic_rate,"")</definedName>
    <definedName name="Interest" localSheetId="19">IF(#REF!&lt;&gt;"",#REF!*'(TOV1) Export reproduction'!Periodic_rate,"")</definedName>
    <definedName name="Interest" localSheetId="18">IF(#REF!&lt;&gt;"",#REF!*'(TOV1) Export ventes'!Periodic_rate,"")</definedName>
    <definedName name="Interest" localSheetId="20">IF(#REF!&lt;&gt;"",#REF!*'(TOV1)Export variation de stock'!Periodic_rate,"")</definedName>
    <definedName name="Interest">IF(#REF!&lt;&gt;"",#REF!*#REF!,"")</definedName>
    <definedName name="jfan">#REF!</definedName>
    <definedName name="jmaf">#REF!</definedName>
    <definedName name="jman">#REF!</definedName>
    <definedName name="jrff">#REF!</definedName>
    <definedName name="jrfn">#REF!</definedName>
    <definedName name="jrmf">#REF!</definedName>
    <definedName name="jrmn">#REF!</definedName>
    <definedName name="Liste_sys">#REF!</definedName>
    <definedName name="MAAC" localSheetId="19">#REF!</definedName>
    <definedName name="MAAC" localSheetId="18">#REF!</definedName>
    <definedName name="MAAC">#REF!</definedName>
    <definedName name="maie">#REF!</definedName>
    <definedName name="maio">#REF!</definedName>
    <definedName name="MALD" localSheetId="19">#REF!</definedName>
    <definedName name="MALD" localSheetId="18">#REF!</definedName>
    <definedName name="MALD">#REF!</definedName>
    <definedName name="MALG" localSheetId="19">#REF!</definedName>
    <definedName name="MALG" localSheetId="18">#REF!</definedName>
    <definedName name="MALG">#REF!</definedName>
    <definedName name="MALT" localSheetId="19">#REF!</definedName>
    <definedName name="MALT" localSheetId="18">#REF!</definedName>
    <definedName name="MALT">#REF!</definedName>
    <definedName name="MAMG" localSheetId="19">#REF!</definedName>
    <definedName name="MAMG" localSheetId="18">#REF!</definedName>
    <definedName name="MAMG">#REF!</definedName>
    <definedName name="MARP" localSheetId="19">#REF!</definedName>
    <definedName name="MARP" localSheetId="18">#REF!</definedName>
    <definedName name="MARP">#REF!</definedName>
    <definedName name="mbrut10" localSheetId="19">#REF!</definedName>
    <definedName name="mbrut10" localSheetId="18">#REF!</definedName>
    <definedName name="mbrut10">#REF!</definedName>
    <definedName name="mbrut11" localSheetId="19">#REF!</definedName>
    <definedName name="mbrut11" localSheetId="18">#REF!</definedName>
    <definedName name="mbrut11">#REF!</definedName>
    <definedName name="mbrut12" localSheetId="19">#REF!</definedName>
    <definedName name="mbrut12" localSheetId="18">#REF!</definedName>
    <definedName name="mbrut12">#REF!</definedName>
    <definedName name="mbrut13" localSheetId="19">#REF!</definedName>
    <definedName name="mbrut13" localSheetId="18">#REF!</definedName>
    <definedName name="mbrut13">#REF!</definedName>
    <definedName name="mbrut14" localSheetId="19">#REF!</definedName>
    <definedName name="mbrut14" localSheetId="18">#REF!</definedName>
    <definedName name="mbrut14">#REF!</definedName>
    <definedName name="mbrut15" localSheetId="19">#REF!</definedName>
    <definedName name="mbrut15" localSheetId="18">#REF!</definedName>
    <definedName name="mbrut15">#REF!</definedName>
    <definedName name="mbrut16" localSheetId="19">#REF!</definedName>
    <definedName name="mbrut16" localSheetId="18">#REF!</definedName>
    <definedName name="mbrut16">#REF!</definedName>
    <definedName name="MBSV">#REF!</definedName>
    <definedName name="MillValid">#REF!</definedName>
    <definedName name="MLAI" localSheetId="19">#REF!</definedName>
    <definedName name="MLAI" localSheetId="18">#REF!</definedName>
    <definedName name="MLAI">#REF!</definedName>
    <definedName name="moof">#REF!</definedName>
    <definedName name="MOREP" localSheetId="19">#REF!</definedName>
    <definedName name="MOREP" localSheetId="18">#REF!</definedName>
    <definedName name="MOREP">#REF!</definedName>
    <definedName name="moru">#REF!</definedName>
    <definedName name="MROA" localSheetId="19">#REF!</definedName>
    <definedName name="MROA" localSheetId="18">#REF!</definedName>
    <definedName name="MROA">#REF!</definedName>
    <definedName name="MROV" localSheetId="19">#REF!</definedName>
    <definedName name="MROV" localSheetId="18">#REF!</definedName>
    <definedName name="MROV">#REF!</definedName>
    <definedName name="MSA" localSheetId="19">#REF!</definedName>
    <definedName name="MSA" localSheetId="18">#REF!</definedName>
    <definedName name="MSA">#REF!</definedName>
    <definedName name="MSAOV" localSheetId="19">#REF!</definedName>
    <definedName name="MSAOV" localSheetId="18">#REF!</definedName>
    <definedName name="MSAOV">#REF!</definedName>
    <definedName name="MVRA" localSheetId="19">#REF!</definedName>
    <definedName name="MVRA" localSheetId="18">#REF!</definedName>
    <definedName name="MVRA">#REF!</definedName>
    <definedName name="NAAC" localSheetId="19">#REF!</definedName>
    <definedName name="NAAC" localSheetId="18">#REF!</definedName>
    <definedName name="NAAC">#REF!</definedName>
    <definedName name="NALD" localSheetId="19">#REF!</definedName>
    <definedName name="NALD" localSheetId="18">#REF!</definedName>
    <definedName name="NALD">#REF!</definedName>
    <definedName name="NALG" localSheetId="19">#REF!</definedName>
    <definedName name="NALG" localSheetId="18">#REF!</definedName>
    <definedName name="NALG">#REF!</definedName>
    <definedName name="NALT" localSheetId="19">#REF!</definedName>
    <definedName name="NALT" localSheetId="18">#REF!</definedName>
    <definedName name="NALT">#REF!</definedName>
    <definedName name="NAMG" localSheetId="19">#REF!</definedName>
    <definedName name="NAMG" localSheetId="18">#REF!</definedName>
    <definedName name="NAMG">#REF!</definedName>
    <definedName name="NARP" localSheetId="19">#REF!</definedName>
    <definedName name="NARP" localSheetId="18">#REF!</definedName>
    <definedName name="NARP">#REF!</definedName>
    <definedName name="nombreanx" localSheetId="19">#REF!</definedName>
    <definedName name="nombreanx" localSheetId="18">#REF!</definedName>
    <definedName name="nombreanx">#REF!</definedName>
    <definedName name="nome">#REF!</definedName>
    <definedName name="NUMREF">#REF!</definedName>
    <definedName name="OL_livreurs">#REF!</definedName>
    <definedName name="OLsys" localSheetId="19">#REF!</definedName>
    <definedName name="OLsys" localSheetId="18">#REF!</definedName>
    <definedName name="OLsys">#REF!</definedName>
    <definedName name="ovin" localSheetId="17">Annual_interest_rate/Payments_per_year</definedName>
    <definedName name="ovin" localSheetId="19">Annual_interest_rate/Payments_per_year</definedName>
    <definedName name="ovin" localSheetId="18">Annual_interest_rate/Payments_per_year</definedName>
    <definedName name="ovin" localSheetId="20">Annual_interest_rate/Payments_per_year</definedName>
    <definedName name="ovin">Annual_interest_rate/Payments_per_year</definedName>
    <definedName name="ovla">#REF!</definedName>
    <definedName name="OVsys" localSheetId="19">#REF!</definedName>
    <definedName name="OVsys" localSheetId="18">#REF!</definedName>
    <definedName name="OVsys">#REF!</definedName>
    <definedName name="pahb">#REF!</definedName>
    <definedName name="PALD" localSheetId="19">#REF!</definedName>
    <definedName name="PALD" localSheetId="18">#REF!</definedName>
    <definedName name="PALD">#REF!</definedName>
    <definedName name="paraman">#REF!</definedName>
    <definedName name="PartPAC" localSheetId="17">#REF!</definedName>
    <definedName name="PartPAC" localSheetId="19">#REF!</definedName>
    <definedName name="PartPAC" localSheetId="18">#REF!</definedName>
    <definedName name="PartPAC" localSheetId="20">#REF!</definedName>
    <definedName name="PartPAC">#REF!</definedName>
    <definedName name="PAUMO" localSheetId="19">#REF!</definedName>
    <definedName name="PAUMO" localSheetId="18">#REF!</definedName>
    <definedName name="PAUMO">#REF!</definedName>
    <definedName name="PAUT" localSheetId="19">#REF!</definedName>
    <definedName name="PAUT" localSheetId="18">#REF!</definedName>
    <definedName name="PAUT">#REF!</definedName>
    <definedName name="payment.Num" localSheetId="17">IF(OR(#REF!="",#REF!='(TOV1) Export Achat'!Total_payments),"",#REF!+1)</definedName>
    <definedName name="payment.Num" localSheetId="19">IF(OR(#REF!="",#REF!='(TOV1) Export reproduction'!Total_payments),"",#REF!+1)</definedName>
    <definedName name="payment.Num" localSheetId="18">IF(OR(#REF!="",#REF!='(TOV1) Export ventes'!Total_payments),"",#REF!+1)</definedName>
    <definedName name="payment.Num" localSheetId="20">IF(OR(#REF!="",#REF!='(TOV1)Export variation de stock'!Total_payments),"",#REF!+1)</definedName>
    <definedName name="payment.Num">IF(OR(#REF!="",#REF!=#REF!),"",#REF!+1)</definedName>
    <definedName name="Payments_per_year">#REF!</definedName>
    <definedName name="pcov">#REF!</definedName>
    <definedName name="PCP" localSheetId="19">#REF!</definedName>
    <definedName name="PCP" localSheetId="18">#REF!</definedName>
    <definedName name="PCP">#REF!</definedName>
    <definedName name="PCS" localSheetId="19">#REF!</definedName>
    <definedName name="PCS" localSheetId="18">#REF!</definedName>
    <definedName name="PCS">#REF!</definedName>
    <definedName name="PCV" localSheetId="19">#REF!</definedName>
    <definedName name="PCV" localSheetId="18">#REF!</definedName>
    <definedName name="PCV">#REF!</definedName>
    <definedName name="pder">#REF!</definedName>
    <definedName name="Periodic_rate" localSheetId="17">Annual_interest_rate/Payments_per_year</definedName>
    <definedName name="Periodic_rate" localSheetId="19">[0]!Annual_interest_rate/[0]!Payments_per_year</definedName>
    <definedName name="Periodic_rate" localSheetId="18">[0]!Annual_interest_rate/[0]!Payments_per_year</definedName>
    <definedName name="Periodic_rate" localSheetId="20">Annual_interest_rate/Payments_per_year</definedName>
    <definedName name="Periodic_rate">Annual_interest_rate/Payments_per_year</definedName>
    <definedName name="PETIMAT" localSheetId="19">#REF!</definedName>
    <definedName name="PETIMAT" localSheetId="18">#REF!</definedName>
    <definedName name="PETIMAT">#REF!</definedName>
    <definedName name="PFIN" localSheetId="19">#REF!</definedName>
    <definedName name="PFIN" localSheetId="18">#REF!</definedName>
    <definedName name="PFIN">#REF!</definedName>
    <definedName name="pgro">#REF!</definedName>
    <definedName name="PHAE" localSheetId="19">#REF!</definedName>
    <definedName name="PHAE" localSheetId="18">#REF!</definedName>
    <definedName name="PHAE">#REF!</definedName>
    <definedName name="PLAFERM">#REF!</definedName>
    <definedName name="Plamont">#REF!</definedName>
    <definedName name="Pmt_to_use">#REF!</definedName>
    <definedName name="PNEQAF">#REF!</definedName>
    <definedName name="PP" localSheetId="19">#REF!</definedName>
    <definedName name="PP" localSheetId="18">#REF!</definedName>
    <definedName name="PP">#REF!</definedName>
    <definedName name="PPEQAF">#REF!</definedName>
    <definedName name="pplo">#REF!</definedName>
    <definedName name="pren">#REF!</definedName>
    <definedName name="Principal" localSheetId="17">IF(#REF!&lt;&gt;"",MIN(#REF!,Pmt_to_use-#REF!),"")</definedName>
    <definedName name="Principal" localSheetId="19">IF(#REF!&lt;&gt;"",MIN(#REF!,[0]!Pmt_to_use-#REF!),"")</definedName>
    <definedName name="Principal" localSheetId="18">IF(#REF!&lt;&gt;"",MIN(#REF!,[0]!Pmt_to_use-#REF!),"")</definedName>
    <definedName name="Principal" localSheetId="20">IF(#REF!&lt;&gt;"",MIN(#REF!,Pmt_to_use-#REF!),"")</definedName>
    <definedName name="Principal">IF(#REF!&lt;&gt;"",MIN(#REF!,Pmt_to_use-#REF!),"")</definedName>
    <definedName name="PRIX" localSheetId="19">#REF!</definedName>
    <definedName name="PRIX" localSheetId="18">#REF!</definedName>
    <definedName name="PRIX">#REF!</definedName>
    <definedName name="Prix_agneau" localSheetId="19">#REF!</definedName>
    <definedName name="Prix_agneau" localSheetId="18">#REF!</definedName>
    <definedName name="Prix_agneau">#REF!</definedName>
    <definedName name="PRODEXCL" localSheetId="19">#REF!</definedName>
    <definedName name="PRODEXCL" localSheetId="18">#REF!</definedName>
    <definedName name="PRODEXCL">#REF!</definedName>
    <definedName name="psfp">#REF!</definedName>
    <definedName name="PTBL" localSheetId="19">#REF!</definedName>
    <definedName name="PTBL" localSheetId="18">#REF!</definedName>
    <definedName name="PTBL">#REF!</definedName>
    <definedName name="PTBV" localSheetId="19">#REF!</definedName>
    <definedName name="PTBV" localSheetId="18">#REF!</definedName>
    <definedName name="PTBV">#REF!</definedName>
    <definedName name="PTCL" localSheetId="19">#REF!</definedName>
    <definedName name="PTCL" localSheetId="18">#REF!</definedName>
    <definedName name="PTCL">#REF!</definedName>
    <definedName name="ptem">#REF!</definedName>
    <definedName name="pteo">#REF!</definedName>
    <definedName name="PTEq" localSheetId="19">#REF!</definedName>
    <definedName name="PTEq" localSheetId="18">#REF!</definedName>
    <definedName name="PTEq">#REF!</definedName>
    <definedName name="PTOL" localSheetId="19">#REF!</definedName>
    <definedName name="PTOL" localSheetId="18">#REF!</definedName>
    <definedName name="PTOL">#REF!</definedName>
    <definedName name="PUMOAUT" localSheetId="19">#REF!</definedName>
    <definedName name="PUMOAUT" localSheetId="18">#REF!</definedName>
    <definedName name="PUMOAUT">#REF!</definedName>
    <definedName name="PUMOCP" localSheetId="19">#REF!</definedName>
    <definedName name="PUMOCP" localSheetId="18">#REF!</definedName>
    <definedName name="PUMOCP">#REF!</definedName>
    <definedName name="PUMOCS" localSheetId="19">#REF!</definedName>
    <definedName name="PUMOCS" localSheetId="18">#REF!</definedName>
    <definedName name="PUMOCS">#REF!</definedName>
    <definedName name="PUMOGCU" localSheetId="19">#REF!</definedName>
    <definedName name="PUMOGCU" localSheetId="18">#REF!</definedName>
    <definedName name="PUMOGCU">#REF!</definedName>
    <definedName name="PUMOOV" localSheetId="19">#REF!</definedName>
    <definedName name="PUMOOV" localSheetId="18">#REF!</definedName>
    <definedName name="PUMOOV">#REF!</definedName>
    <definedName name="PVSF" localSheetId="19">#REF!</definedName>
    <definedName name="PVSF" localSheetId="18">#REF!</definedName>
    <definedName name="PVSF">#REF!</definedName>
    <definedName name="quantité" localSheetId="19">#REF!</definedName>
    <definedName name="quantité" localSheetId="18">#REF!</definedName>
    <definedName name="quantité">#REF!</definedName>
    <definedName name="raff">#REF!</definedName>
    <definedName name="rafn">#REF!</definedName>
    <definedName name="ramf">#REF!</definedName>
    <definedName name="ramn">#REF!</definedName>
    <definedName name="RB0">#REF!-SUM(#REF!,#REF!,#REF!)</definedName>
    <definedName name="RB0S">#REF!-SUM(#REF!,#REF!,#REF!,#REF!,#REF!)</definedName>
    <definedName name="recup">"a:\gal.xls"</definedName>
    <definedName name="refdata">#REF!</definedName>
    <definedName name="REMB" localSheetId="19">#REF!</definedName>
    <definedName name="REMB" localSheetId="18">#REF!</definedName>
    <definedName name="REMB">#REF!</definedName>
    <definedName name="REMBOV" localSheetId="19">#REF!</definedName>
    <definedName name="REMBOV" localSheetId="18">#REF!</definedName>
    <definedName name="REMBOV">#REF!</definedName>
    <definedName name="repf">#REF!</definedName>
    <definedName name="rfaf">#REF!</definedName>
    <definedName name="rfan">#REF!</definedName>
    <definedName name="rmaf">#REF!</definedName>
    <definedName name="rman">#REF!</definedName>
    <definedName name="SAL" localSheetId="19">#REF!</definedName>
    <definedName name="SAL" localSheetId="18">#REF!</definedName>
    <definedName name="SAL">#REF!</definedName>
    <definedName name="SAU" localSheetId="19">#REF!</definedName>
    <definedName name="SAU" localSheetId="18">#REF!</definedName>
    <definedName name="SAU">#REF!</definedName>
    <definedName name="saut">#REF!</definedName>
    <definedName name="SEM" localSheetId="19">#REF!</definedName>
    <definedName name="SEM" localSheetId="18">#REF!</definedName>
    <definedName name="SEM">#REF!</definedName>
    <definedName name="SEMCF" localSheetId="19">#REF!</definedName>
    <definedName name="SEMCF" localSheetId="18">#REF!</definedName>
    <definedName name="SEMCF">#REF!</definedName>
    <definedName name="SEMCINTOV" localSheetId="19">#REF!</definedName>
    <definedName name="SEMCINTOV" localSheetId="18">#REF!</definedName>
    <definedName name="SEMCINTOV">#REF!</definedName>
    <definedName name="SEMCP" localSheetId="19">#REF!</definedName>
    <definedName name="SEMCP" localSheetId="18">#REF!</definedName>
    <definedName name="SEMCP">#REF!</definedName>
    <definedName name="SEMCS" localSheetId="19">#REF!</definedName>
    <definedName name="SEMCS" localSheetId="18">#REF!</definedName>
    <definedName name="SEMCS">#REF!</definedName>
    <definedName name="SEMCV" localSheetId="19">#REF!</definedName>
    <definedName name="SEMCV" localSheetId="18">#REF!</definedName>
    <definedName name="SEMCV">#REF!</definedName>
    <definedName name="semf">#REF!</definedName>
    <definedName name="SEMSFP" localSheetId="19">#REF!</definedName>
    <definedName name="SEMSFP" localSheetId="18">#REF!</definedName>
    <definedName name="SEMSFP">#REF!</definedName>
    <definedName name="SEMSFPOV" localSheetId="19">#REF!</definedName>
    <definedName name="SEMSFPOV" localSheetId="18">#REF!</definedName>
    <definedName name="SEMSFPOV">#REF!</definedName>
    <definedName name="SEMSH" localSheetId="19">#REF!</definedName>
    <definedName name="SEMSH" localSheetId="18">#REF!</definedName>
    <definedName name="SEMSH">#REF!</definedName>
    <definedName name="sfpo">#REF!</definedName>
    <definedName name="sfpS">#REF!</definedName>
    <definedName name="sfpt">#REF!</definedName>
    <definedName name="SH" localSheetId="19">#REF!</definedName>
    <definedName name="SH" localSheetId="18">#REF!</definedName>
    <definedName name="SH">#REF!</definedName>
    <definedName name="SHOV">#REF!</definedName>
    <definedName name="Show.Date" localSheetId="17">IF(#REF!&lt;&gt;"",DATE(YEAR(First_payment_due),MONTH(First_payment_due)+(#REF!-1)*12/Payments_per_year,DAY(First_payment_due)),"")</definedName>
    <definedName name="Show.Date" localSheetId="19">IF(#REF!&lt;&gt;"",DATE(YEAR([0]!First_payment_due),MONTH([0]!First_payment_due)+(#REF!-1)*12/[0]!Payments_per_year,DAY([0]!First_payment_due)),"")</definedName>
    <definedName name="Show.Date" localSheetId="18">IF(#REF!&lt;&gt;"",DATE(YEAR([0]!First_payment_due),MONTH([0]!First_payment_due)+(#REF!-1)*12/[0]!Payments_per_year,DAY([0]!First_payment_due)),"")</definedName>
    <definedName name="Show.Date" localSheetId="20">IF(#REF!&lt;&gt;"",DATE(YEAR(First_payment_due),MONTH(First_payment_due)+(#REF!-1)*12/Payments_per_year,DAY(First_payment_due)),"")</definedName>
    <definedName name="Show.Date">IF(#REF!&lt;&gt;"",DATE(YEAR(First_payment_due),MONTH(First_payment_due)+(#REF!-1)*12/Payments_per_year,DAY(First_payment_due)),"")</definedName>
    <definedName name="SMIC">#REF!</definedName>
    <definedName name="SMICKT">#REF!</definedName>
    <definedName name="SMICNETAN">#REF!</definedName>
    <definedName name="SMICSIM">#REF!</definedName>
    <definedName name="SPRO" localSheetId="19">#REF!</definedName>
    <definedName name="SPRO" localSheetId="18">#REF!</definedName>
    <definedName name="SPRO">#REF!</definedName>
    <definedName name="SPROP" localSheetId="19">#REF!</definedName>
    <definedName name="SPROP" localSheetId="18">#REF!</definedName>
    <definedName name="SPROP">#REF!</definedName>
    <definedName name="stho">#REF!</definedName>
    <definedName name="stht">#REF!</definedName>
    <definedName name="SysBL">#REF!</definedName>
    <definedName name="SysBV">#REF!</definedName>
    <definedName name="SysCL">#REF!</definedName>
    <definedName name="SysEq">#REF!</definedName>
    <definedName name="SysOL">#REF!</definedName>
    <definedName name="SysOV">#REF!</definedName>
    <definedName name="tabCS">#REF!</definedName>
    <definedName name="Term_in_years">#REF!</definedName>
    <definedName name="Total_payments" localSheetId="17">Payments_per_year*Term_in_years</definedName>
    <definedName name="Total_payments" localSheetId="19">[0]!Payments_per_year*[0]!Term_in_years</definedName>
    <definedName name="Total_payments" localSheetId="18">[0]!Payments_per_year*[0]!Term_in_years</definedName>
    <definedName name="Total_payments" localSheetId="20">Payments_per_year*Term_in_years</definedName>
    <definedName name="Total_payments">Payments_per_year*Term_in_years</definedName>
    <definedName name="TPTtot" localSheetId="19">#REF!</definedName>
    <definedName name="TPTtot" localSheetId="18">#REF!</definedName>
    <definedName name="TPTtot">#REF!</definedName>
    <definedName name="traf">#REF!</definedName>
    <definedName name="troupeau1" localSheetId="19">#REF!</definedName>
    <definedName name="troupeau1" localSheetId="18">#REF!</definedName>
    <definedName name="troupeau1">#REF!</definedName>
    <definedName name="troupeau2" localSheetId="19">#REF!</definedName>
    <definedName name="troupeau2" localSheetId="18">#REF!</definedName>
    <definedName name="troupeau2">#REF!</definedName>
    <definedName name="uben">#REF!</definedName>
    <definedName name="UGB" localSheetId="19">#REF!</definedName>
    <definedName name="UGB" localSheetId="18">#REF!</definedName>
    <definedName name="UGB">#REF!</definedName>
    <definedName name="UGBBL" localSheetId="19">#REF!</definedName>
    <definedName name="UGBBL" localSheetId="18">#REF!</definedName>
    <definedName name="UGBBL">#REF!</definedName>
    <definedName name="UGBBV" localSheetId="19">#REF!</definedName>
    <definedName name="UGBBV" localSheetId="18">#REF!</definedName>
    <definedName name="UGBBV">#REF!</definedName>
    <definedName name="UGBCL" localSheetId="19">#REF!</definedName>
    <definedName name="UGBCL" localSheetId="18">#REF!</definedName>
    <definedName name="UGBCL">#REF!</definedName>
    <definedName name="UGBEQ" localSheetId="19">#REF!</definedName>
    <definedName name="UGBEQ" localSheetId="18">#REF!</definedName>
    <definedName name="UGBEQ">#REF!</definedName>
    <definedName name="ugbo">#REF!</definedName>
    <definedName name="UGBOL" localSheetId="19">#REF!</definedName>
    <definedName name="UGBOL" localSheetId="18">#REF!</definedName>
    <definedName name="UGBOL">#REF!</definedName>
    <definedName name="UGBOV">#REF!</definedName>
    <definedName name="ugbt">#REF!</definedName>
    <definedName name="UMOExpOV">#REF!</definedName>
    <definedName name="UMOns" localSheetId="19">#REF!</definedName>
    <definedName name="UMOns" localSheetId="18">#REF!</definedName>
    <definedName name="UMOns">#REF!</definedName>
    <definedName name="UMONSAH" localSheetId="19">#REF!</definedName>
    <definedName name="UMONSAH" localSheetId="18">#REF!</definedName>
    <definedName name="UMONSAH">#REF!</definedName>
    <definedName name="UMONSCP" localSheetId="19">#REF!</definedName>
    <definedName name="UMONSCP" localSheetId="18">#REF!</definedName>
    <definedName name="UMONSCP">#REF!</definedName>
    <definedName name="UMONSCS" localSheetId="19">#REF!</definedName>
    <definedName name="UMONSCS" localSheetId="18">#REF!</definedName>
    <definedName name="UMONSCS">#REF!</definedName>
    <definedName name="UMONSCV" localSheetId="19">#REF!</definedName>
    <definedName name="UMONSCV" localSheetId="18">#REF!</definedName>
    <definedName name="UMONSCV">#REF!</definedName>
    <definedName name="UMONSOV" localSheetId="19">#REF!</definedName>
    <definedName name="UMONSOV" localSheetId="18">#REF!</definedName>
    <definedName name="UMONSOV">#REF!</definedName>
    <definedName name="UMOs" localSheetId="19">#REF!</definedName>
    <definedName name="UMOs" localSheetId="18">#REF!</definedName>
    <definedName name="UMOs">#REF!</definedName>
    <definedName name="UMOSAH" localSheetId="19">#REF!</definedName>
    <definedName name="UMOSAH" localSheetId="18">#REF!</definedName>
    <definedName name="UMOSAH">#REF!</definedName>
    <definedName name="UMOSCP" localSheetId="19">#REF!</definedName>
    <definedName name="UMOSCP" localSheetId="18">#REF!</definedName>
    <definedName name="UMOSCP">#REF!</definedName>
    <definedName name="UMOSCS" localSheetId="19">#REF!</definedName>
    <definedName name="UMOSCS" localSheetId="18">#REF!</definedName>
    <definedName name="UMOSCS">#REF!</definedName>
    <definedName name="UMOSCV" localSheetId="19">#REF!</definedName>
    <definedName name="UMOSCV" localSheetId="18">#REF!</definedName>
    <definedName name="UMOSCV">#REF!</definedName>
    <definedName name="UMOSOV" localSheetId="19">#REF!</definedName>
    <definedName name="UMOSOV" localSheetId="18">#REF!</definedName>
    <definedName name="UMOSOV">#REF!</definedName>
    <definedName name="usal">#REF!</definedName>
    <definedName name="utan">#REF!</definedName>
    <definedName name="VALFERM" localSheetId="19">#REF!</definedName>
    <definedName name="VALFERM" localSheetId="18">#REF!</definedName>
    <definedName name="VALFERM">#REF!</definedName>
    <definedName name="vente_directe" localSheetId="17">Payments_per_year*Term_in_years</definedName>
    <definedName name="vente_directe" localSheetId="19">Payments_per_year*Term_in_years</definedName>
    <definedName name="vente_directe" localSheetId="18">Payments_per_year*Term_in_years</definedName>
    <definedName name="vente_directe" localSheetId="20">Payments_per_year*Term_in_years</definedName>
    <definedName name="vente_directe">Payments_per_year*Term_in_years</definedName>
    <definedName name="vetf">#REF!</definedName>
    <definedName name="vfou">#REF!</definedName>
    <definedName name="vfum">#REF!</definedName>
    <definedName name="VIAX" localSheetId="19">#REF!</definedName>
    <definedName name="VIAX" localSheetId="18">#REF!</definedName>
    <definedName name="VIAX">#REF!</definedName>
    <definedName name="VIRP" localSheetId="19">#REF!</definedName>
    <definedName name="VIRP" localSheetId="18">#REF!</definedName>
    <definedName name="VIRP">#REF!</definedName>
    <definedName name="vlai">#REF!</definedName>
    <definedName name="Vte_Direct_2009" localSheetId="17">IF(#REF!&lt;&gt;"",#REF!*'(TOV1) Export Achat'!Periodic_rate,"")</definedName>
    <definedName name="Vte_Direct_2009" localSheetId="19">IF(#REF!&lt;&gt;"",#REF!*'(TOV1) Export reproduction'!Periodic_rate,"")</definedName>
    <definedName name="Vte_Direct_2009" localSheetId="18">IF(#REF!&lt;&gt;"",#REF!*'(TOV1) Export ventes'!Periodic_rate,"")</definedName>
    <definedName name="Vte_Direct_2009" localSheetId="20">IF(#REF!&lt;&gt;"",#REF!*'(TOV1)Export variation de stock'!Periodic_rate,"")</definedName>
    <definedName name="Vte_Direct_2009">IF(#REF!&lt;&gt;"",#REF!*Periodic_rate,"")</definedName>
  </definedNames>
  <calcPr calcId="191028"/>
  <pivotCaches>
    <pivotCache cacheId="0" r:id="rId2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6" l="1"/>
  <c r="FN36" i="17"/>
  <c r="BD43" i="17"/>
  <c r="K9" i="12" s="1" a="1"/>
  <c r="K9" i="12" s="1"/>
  <c r="BB43" i="17"/>
  <c r="BC43" i="17"/>
  <c r="AZ12" i="17"/>
  <c r="J45" i="14"/>
  <c r="L45" i="14"/>
  <c r="K45" i="14"/>
  <c r="J42" i="14"/>
  <c r="AU52" i="14"/>
  <c r="L3" i="13" l="1"/>
  <c r="G25" i="17" l="1"/>
  <c r="P3" i="18" s="1"/>
  <c r="AU10" i="14"/>
  <c r="AU20" i="14"/>
  <c r="N3" i="18"/>
  <c r="M3" i="18"/>
  <c r="BH3" i="18"/>
  <c r="BF3" i="18"/>
  <c r="BE3" i="18"/>
  <c r="BD3" i="18"/>
  <c r="Y3" i="18"/>
  <c r="X3" i="18"/>
  <c r="W3" i="18"/>
  <c r="V3" i="18"/>
  <c r="U3" i="18"/>
  <c r="T3" i="18"/>
  <c r="S3" i="18"/>
  <c r="R3" i="18"/>
  <c r="Q3" i="18"/>
  <c r="G3" i="18"/>
  <c r="F3" i="18"/>
  <c r="E3" i="18"/>
  <c r="K3" i="18"/>
  <c r="J3" i="18"/>
  <c r="I3" i="18"/>
  <c r="L3" i="18"/>
  <c r="D3" i="18"/>
  <c r="C3" i="18"/>
  <c r="B3" i="18"/>
  <c r="B8" i="9"/>
  <c r="B7" i="9"/>
  <c r="B4" i="9"/>
  <c r="B3" i="9"/>
  <c r="B2" i="9"/>
  <c r="B15" i="9"/>
  <c r="B13" i="9"/>
  <c r="B12" i="9"/>
  <c r="B28" i="9"/>
  <c r="B27" i="9"/>
  <c r="B26" i="9"/>
  <c r="B39" i="9"/>
  <c r="B38" i="9"/>
  <c r="B37" i="9"/>
  <c r="B36" i="9"/>
  <c r="B35" i="9"/>
  <c r="B34" i="9"/>
  <c r="B55" i="9"/>
  <c r="D89" i="9"/>
  <c r="C89" i="9"/>
  <c r="B89" i="9"/>
  <c r="B121" i="9"/>
  <c r="B120" i="9"/>
  <c r="B119" i="9"/>
  <c r="B118" i="9"/>
  <c r="B113" i="9"/>
  <c r="B111" i="9"/>
  <c r="B109" i="9"/>
  <c r="FH36" i="17"/>
  <c r="I4" i="10"/>
  <c r="I3" i="10"/>
  <c r="C4" i="10"/>
  <c r="C5" i="10"/>
  <c r="C3" i="10"/>
  <c r="B114" i="9"/>
  <c r="B112" i="9"/>
  <c r="B110" i="9"/>
  <c r="B108" i="9"/>
  <c r="B153" i="9"/>
  <c r="B159" i="9"/>
  <c r="B158" i="9"/>
  <c r="B157" i="9"/>
  <c r="B156" i="9"/>
  <c r="B155" i="9"/>
  <c r="B154" i="9"/>
  <c r="B146" i="9"/>
  <c r="B145" i="9"/>
  <c r="B139" i="9"/>
  <c r="B138" i="9"/>
  <c r="B137" i="9"/>
  <c r="B136" i="9"/>
  <c r="DL33" i="17"/>
  <c r="DL35" i="17"/>
  <c r="C48" i="4"/>
  <c r="C43" i="4" s="1"/>
  <c r="B196" i="9"/>
  <c r="B191" i="9"/>
  <c r="B183" i="9"/>
  <c r="FU36" i="17"/>
  <c r="EJ42" i="17"/>
  <c r="C43" i="6"/>
  <c r="AM100" i="14"/>
  <c r="AM99" i="14"/>
  <c r="AM98" i="14"/>
  <c r="AM97" i="14"/>
  <c r="AM96" i="14"/>
  <c r="AM95" i="14"/>
  <c r="D49" i="17"/>
  <c r="D46" i="17"/>
  <c r="D43" i="17"/>
  <c r="C28" i="17"/>
  <c r="EJ14" i="17"/>
  <c r="C10" i="6"/>
  <c r="C9" i="6"/>
  <c r="D31" i="17"/>
  <c r="D34" i="17"/>
  <c r="D37" i="17"/>
  <c r="D40" i="17"/>
  <c r="F22" i="1"/>
  <c r="E22" i="1"/>
  <c r="F17" i="1"/>
  <c r="E28" i="1"/>
  <c r="B27" i="1"/>
  <c r="B25" i="1"/>
  <c r="B16" i="1"/>
  <c r="G22" i="17" s="1"/>
  <c r="B15" i="1"/>
  <c r="C22" i="17" s="1"/>
  <c r="E16" i="1" l="1"/>
  <c r="EV3" i="18"/>
  <c r="BG3" i="18"/>
  <c r="BC3" i="18"/>
  <c r="H8" i="3"/>
  <c r="I8" i="3"/>
  <c r="J8" i="3"/>
  <c r="K8" i="3"/>
  <c r="H9" i="3"/>
  <c r="I9" i="3"/>
  <c r="J9" i="3"/>
  <c r="K9" i="3"/>
  <c r="H10" i="3"/>
  <c r="I10" i="3"/>
  <c r="J10" i="3"/>
  <c r="K10" i="3"/>
  <c r="H11" i="3"/>
  <c r="I11" i="3"/>
  <c r="J11" i="3"/>
  <c r="K11" i="3"/>
  <c r="H12" i="3"/>
  <c r="I12" i="3"/>
  <c r="J12" i="3"/>
  <c r="K12" i="3"/>
  <c r="H13" i="3"/>
  <c r="I13" i="3"/>
  <c r="J13" i="3"/>
  <c r="K13" i="3"/>
  <c r="H14" i="3"/>
  <c r="I14" i="3"/>
  <c r="J14" i="3"/>
  <c r="K14" i="3"/>
  <c r="H15" i="3"/>
  <c r="I15" i="3"/>
  <c r="J15" i="3"/>
  <c r="K15" i="3"/>
  <c r="H16" i="3"/>
  <c r="I16" i="3"/>
  <c r="J16" i="3"/>
  <c r="K16" i="3"/>
  <c r="H17" i="3"/>
  <c r="I17" i="3"/>
  <c r="J17" i="3"/>
  <c r="K17" i="3"/>
  <c r="H18" i="3"/>
  <c r="I18" i="3"/>
  <c r="J18" i="3"/>
  <c r="K18" i="3"/>
  <c r="H19" i="3"/>
  <c r="I19" i="3"/>
  <c r="J19" i="3"/>
  <c r="K19" i="3"/>
  <c r="H20" i="3"/>
  <c r="I20" i="3"/>
  <c r="J20" i="3"/>
  <c r="K20" i="3"/>
  <c r="H21" i="3"/>
  <c r="I21" i="3"/>
  <c r="J21" i="3"/>
  <c r="K21" i="3"/>
  <c r="H22" i="3"/>
  <c r="I22" i="3"/>
  <c r="J22" i="3"/>
  <c r="K22" i="3"/>
  <c r="H23" i="3"/>
  <c r="I23" i="3"/>
  <c r="J23" i="3"/>
  <c r="K23" i="3"/>
  <c r="H24" i="3"/>
  <c r="I24" i="3"/>
  <c r="J24" i="3"/>
  <c r="K24" i="3"/>
  <c r="H25" i="3"/>
  <c r="I25" i="3"/>
  <c r="J25" i="3"/>
  <c r="K25" i="3"/>
  <c r="H26" i="3"/>
  <c r="I26" i="3"/>
  <c r="J26" i="3"/>
  <c r="K26" i="3"/>
  <c r="H27" i="3"/>
  <c r="I27" i="3"/>
  <c r="J27" i="3"/>
  <c r="K27" i="3"/>
  <c r="H28" i="3"/>
  <c r="I28" i="3"/>
  <c r="J28" i="3"/>
  <c r="K28" i="3"/>
  <c r="H29" i="3"/>
  <c r="I29" i="3"/>
  <c r="J29" i="3"/>
  <c r="K29" i="3"/>
  <c r="H30" i="3"/>
  <c r="I30" i="3"/>
  <c r="J30" i="3"/>
  <c r="K30" i="3"/>
  <c r="H31" i="3"/>
  <c r="I31" i="3"/>
  <c r="J31" i="3"/>
  <c r="K31" i="3"/>
  <c r="H32" i="3"/>
  <c r="I32" i="3"/>
  <c r="J32" i="3"/>
  <c r="K32" i="3"/>
  <c r="H33" i="3"/>
  <c r="I33" i="3"/>
  <c r="J33" i="3"/>
  <c r="K33" i="3"/>
  <c r="H34" i="3"/>
  <c r="I34" i="3"/>
  <c r="J34" i="3"/>
  <c r="K34" i="3"/>
  <c r="H35" i="3"/>
  <c r="I35" i="3"/>
  <c r="J35" i="3"/>
  <c r="K35" i="3"/>
  <c r="H36" i="3"/>
  <c r="I36" i="3"/>
  <c r="J36" i="3"/>
  <c r="K36" i="3"/>
  <c r="H37" i="3"/>
  <c r="I37" i="3"/>
  <c r="J37" i="3"/>
  <c r="K37" i="3"/>
  <c r="H38" i="3"/>
  <c r="I38" i="3"/>
  <c r="J38" i="3"/>
  <c r="K38" i="3"/>
  <c r="H39" i="3"/>
  <c r="I39" i="3"/>
  <c r="J39" i="3"/>
  <c r="K39" i="3"/>
  <c r="H40" i="3"/>
  <c r="I40" i="3"/>
  <c r="J40" i="3"/>
  <c r="K40" i="3"/>
  <c r="H41" i="3"/>
  <c r="I41" i="3"/>
  <c r="J41" i="3"/>
  <c r="K41" i="3"/>
  <c r="H42" i="3"/>
  <c r="I42" i="3"/>
  <c r="J42" i="3"/>
  <c r="K42" i="3"/>
  <c r="H43" i="3"/>
  <c r="I43" i="3"/>
  <c r="J43" i="3"/>
  <c r="K43" i="3"/>
  <c r="H44" i="3"/>
  <c r="I44" i="3"/>
  <c r="J44" i="3"/>
  <c r="K44" i="3"/>
  <c r="H45" i="3"/>
  <c r="I45" i="3"/>
  <c r="J45" i="3"/>
  <c r="K45" i="3"/>
  <c r="H46" i="3"/>
  <c r="I46" i="3"/>
  <c r="J46" i="3"/>
  <c r="K46" i="3"/>
  <c r="H47" i="3"/>
  <c r="I47" i="3"/>
  <c r="J47" i="3"/>
  <c r="K47" i="3"/>
  <c r="H48" i="3"/>
  <c r="I48" i="3"/>
  <c r="J48" i="3"/>
  <c r="K48" i="3"/>
  <c r="H49" i="3"/>
  <c r="I49" i="3"/>
  <c r="J49" i="3"/>
  <c r="K49" i="3"/>
  <c r="H50" i="3"/>
  <c r="I50" i="3"/>
  <c r="J50" i="3"/>
  <c r="K50" i="3"/>
  <c r="H51" i="3"/>
  <c r="I51" i="3"/>
  <c r="J51" i="3"/>
  <c r="K51" i="3"/>
  <c r="H52" i="3"/>
  <c r="I52" i="3"/>
  <c r="J52" i="3"/>
  <c r="K52" i="3"/>
  <c r="H53" i="3"/>
  <c r="I53" i="3"/>
  <c r="J53" i="3"/>
  <c r="K53" i="3"/>
  <c r="H54" i="3"/>
  <c r="I54" i="3"/>
  <c r="J54" i="3"/>
  <c r="K54" i="3"/>
  <c r="H55" i="3"/>
  <c r="I55" i="3"/>
  <c r="J55" i="3"/>
  <c r="K55" i="3"/>
  <c r="H56" i="3"/>
  <c r="I56" i="3"/>
  <c r="J56" i="3"/>
  <c r="K56" i="3"/>
  <c r="H57" i="3"/>
  <c r="I57" i="3"/>
  <c r="J57" i="3"/>
  <c r="K57" i="3"/>
  <c r="H58" i="3"/>
  <c r="I58" i="3"/>
  <c r="J58" i="3"/>
  <c r="K58" i="3"/>
  <c r="H59" i="3"/>
  <c r="I59" i="3"/>
  <c r="J59" i="3"/>
  <c r="K59" i="3"/>
  <c r="H60" i="3"/>
  <c r="I60" i="3"/>
  <c r="J60" i="3"/>
  <c r="K60" i="3"/>
  <c r="H61" i="3"/>
  <c r="I61" i="3"/>
  <c r="J61" i="3"/>
  <c r="K61" i="3"/>
  <c r="H62" i="3"/>
  <c r="I62" i="3"/>
  <c r="J62" i="3"/>
  <c r="K62" i="3"/>
  <c r="H63" i="3"/>
  <c r="I63" i="3"/>
  <c r="J63" i="3"/>
  <c r="K63" i="3"/>
  <c r="H64" i="3"/>
  <c r="I64" i="3"/>
  <c r="J64" i="3"/>
  <c r="K64" i="3"/>
  <c r="H65" i="3"/>
  <c r="I65" i="3"/>
  <c r="J65" i="3"/>
  <c r="K65" i="3"/>
  <c r="H66" i="3"/>
  <c r="I66" i="3"/>
  <c r="J66" i="3"/>
  <c r="K66" i="3"/>
  <c r="H67" i="3"/>
  <c r="I67" i="3"/>
  <c r="J67" i="3"/>
  <c r="K67" i="3"/>
  <c r="H68" i="3"/>
  <c r="I68" i="3"/>
  <c r="J68" i="3"/>
  <c r="K68" i="3"/>
  <c r="H69" i="3"/>
  <c r="I69" i="3"/>
  <c r="J69" i="3"/>
  <c r="K69" i="3"/>
  <c r="H70" i="3"/>
  <c r="I70" i="3"/>
  <c r="J70" i="3"/>
  <c r="K70" i="3"/>
  <c r="H71" i="3"/>
  <c r="I71" i="3"/>
  <c r="J71" i="3"/>
  <c r="K71" i="3"/>
  <c r="H72" i="3"/>
  <c r="I72" i="3"/>
  <c r="J72" i="3"/>
  <c r="K72" i="3"/>
  <c r="H73" i="3"/>
  <c r="I73" i="3"/>
  <c r="J73" i="3"/>
  <c r="K73" i="3"/>
  <c r="H74" i="3"/>
  <c r="I74" i="3"/>
  <c r="J74" i="3"/>
  <c r="K74" i="3"/>
  <c r="H75" i="3"/>
  <c r="I75" i="3"/>
  <c r="J75" i="3"/>
  <c r="K75" i="3"/>
  <c r="H76" i="3"/>
  <c r="I76" i="3"/>
  <c r="J76" i="3"/>
  <c r="K76" i="3"/>
  <c r="H77" i="3"/>
  <c r="I77" i="3"/>
  <c r="J77" i="3"/>
  <c r="K77" i="3"/>
  <c r="H78" i="3"/>
  <c r="I78" i="3"/>
  <c r="J78" i="3"/>
  <c r="K78" i="3"/>
  <c r="H79" i="3"/>
  <c r="I79" i="3"/>
  <c r="J79" i="3"/>
  <c r="K79" i="3"/>
  <c r="H80" i="3"/>
  <c r="I80" i="3"/>
  <c r="J80" i="3"/>
  <c r="K80" i="3"/>
  <c r="H81" i="3"/>
  <c r="I81" i="3"/>
  <c r="J81" i="3"/>
  <c r="K81" i="3"/>
  <c r="H82" i="3"/>
  <c r="I82" i="3"/>
  <c r="J82" i="3"/>
  <c r="K82" i="3"/>
  <c r="H83" i="3"/>
  <c r="I83" i="3"/>
  <c r="J83" i="3"/>
  <c r="K83" i="3"/>
  <c r="H84" i="3"/>
  <c r="I84" i="3"/>
  <c r="J84" i="3"/>
  <c r="K84" i="3"/>
  <c r="H85" i="3"/>
  <c r="I85" i="3"/>
  <c r="J85" i="3"/>
  <c r="K85" i="3"/>
  <c r="H86" i="3"/>
  <c r="I86" i="3"/>
  <c r="J86" i="3"/>
  <c r="K86" i="3"/>
  <c r="H87" i="3"/>
  <c r="I87" i="3"/>
  <c r="J87" i="3"/>
  <c r="K87" i="3"/>
  <c r="H88" i="3"/>
  <c r="I88" i="3"/>
  <c r="J88" i="3"/>
  <c r="K88" i="3"/>
  <c r="H89" i="3"/>
  <c r="I89" i="3"/>
  <c r="J89" i="3"/>
  <c r="K89" i="3"/>
  <c r="H90" i="3"/>
  <c r="I90" i="3"/>
  <c r="J90" i="3"/>
  <c r="K90" i="3"/>
  <c r="H91" i="3"/>
  <c r="I91" i="3"/>
  <c r="J91" i="3"/>
  <c r="K91" i="3"/>
  <c r="H92" i="3"/>
  <c r="I92" i="3"/>
  <c r="J92" i="3"/>
  <c r="K92" i="3"/>
  <c r="H93" i="3"/>
  <c r="I93" i="3"/>
  <c r="J93" i="3"/>
  <c r="K93" i="3"/>
  <c r="H94" i="3"/>
  <c r="I94" i="3"/>
  <c r="J94" i="3"/>
  <c r="K94" i="3"/>
  <c r="H95" i="3"/>
  <c r="I95" i="3"/>
  <c r="J95" i="3"/>
  <c r="K95" i="3"/>
  <c r="H96" i="3"/>
  <c r="I96" i="3"/>
  <c r="J96" i="3"/>
  <c r="K96" i="3"/>
  <c r="H97" i="3"/>
  <c r="I97" i="3"/>
  <c r="J97" i="3"/>
  <c r="K97" i="3"/>
  <c r="H98" i="3"/>
  <c r="I98" i="3"/>
  <c r="J98" i="3"/>
  <c r="K98" i="3"/>
  <c r="H99" i="3"/>
  <c r="I99" i="3"/>
  <c r="J99" i="3"/>
  <c r="K99" i="3"/>
  <c r="H100" i="3"/>
  <c r="I100" i="3"/>
  <c r="J100" i="3"/>
  <c r="K100" i="3"/>
  <c r="H101" i="3"/>
  <c r="I101" i="3"/>
  <c r="J101" i="3"/>
  <c r="K101" i="3"/>
  <c r="H102" i="3"/>
  <c r="I102" i="3"/>
  <c r="J102" i="3"/>
  <c r="K102" i="3"/>
  <c r="H103" i="3"/>
  <c r="I103" i="3"/>
  <c r="J103" i="3"/>
  <c r="K103" i="3"/>
  <c r="H104" i="3"/>
  <c r="I104" i="3"/>
  <c r="J104" i="3"/>
  <c r="K104" i="3"/>
  <c r="H105" i="3"/>
  <c r="I105" i="3"/>
  <c r="J105" i="3"/>
  <c r="K105" i="3"/>
  <c r="H106" i="3"/>
  <c r="I106" i="3"/>
  <c r="J106" i="3"/>
  <c r="K106" i="3"/>
  <c r="H107" i="3"/>
  <c r="I107" i="3"/>
  <c r="J107" i="3"/>
  <c r="K107" i="3"/>
  <c r="H108" i="3"/>
  <c r="I108" i="3"/>
  <c r="J108" i="3"/>
  <c r="K108" i="3"/>
  <c r="H109" i="3"/>
  <c r="I109" i="3"/>
  <c r="J109" i="3"/>
  <c r="K109" i="3"/>
  <c r="H110" i="3"/>
  <c r="I110" i="3"/>
  <c r="J110" i="3"/>
  <c r="K110" i="3"/>
  <c r="H111" i="3"/>
  <c r="I111" i="3"/>
  <c r="J111" i="3"/>
  <c r="K111" i="3"/>
  <c r="H112" i="3"/>
  <c r="I112" i="3"/>
  <c r="J112" i="3"/>
  <c r="K112" i="3"/>
  <c r="H113" i="3"/>
  <c r="I113" i="3"/>
  <c r="J113" i="3"/>
  <c r="K113" i="3"/>
  <c r="H114" i="3"/>
  <c r="I114" i="3"/>
  <c r="J114" i="3"/>
  <c r="K114" i="3"/>
  <c r="H115" i="3"/>
  <c r="I115" i="3"/>
  <c r="J115" i="3"/>
  <c r="K115" i="3"/>
  <c r="H116" i="3"/>
  <c r="I116" i="3"/>
  <c r="J116" i="3"/>
  <c r="K116" i="3"/>
  <c r="H117" i="3"/>
  <c r="I117" i="3"/>
  <c r="J117" i="3"/>
  <c r="K117" i="3"/>
  <c r="H118" i="3"/>
  <c r="I118" i="3"/>
  <c r="J118" i="3"/>
  <c r="K118" i="3"/>
  <c r="H119" i="3"/>
  <c r="I119" i="3"/>
  <c r="J119" i="3"/>
  <c r="K119" i="3"/>
  <c r="H120" i="3"/>
  <c r="I120" i="3"/>
  <c r="J120" i="3"/>
  <c r="K120" i="3"/>
  <c r="H121" i="3"/>
  <c r="I121" i="3"/>
  <c r="J121" i="3"/>
  <c r="K121" i="3"/>
  <c r="H122" i="3"/>
  <c r="I122" i="3"/>
  <c r="J122" i="3"/>
  <c r="K122" i="3"/>
  <c r="H123" i="3"/>
  <c r="I123" i="3"/>
  <c r="J123" i="3"/>
  <c r="K123" i="3"/>
  <c r="H124" i="3"/>
  <c r="I124" i="3"/>
  <c r="J124" i="3"/>
  <c r="K124" i="3"/>
  <c r="H125" i="3"/>
  <c r="I125" i="3"/>
  <c r="J125" i="3"/>
  <c r="K125" i="3"/>
  <c r="H126" i="3"/>
  <c r="I126" i="3"/>
  <c r="J126" i="3"/>
  <c r="K126" i="3"/>
  <c r="H127" i="3"/>
  <c r="I127" i="3"/>
  <c r="J127" i="3"/>
  <c r="K127" i="3"/>
  <c r="H128" i="3"/>
  <c r="I128" i="3"/>
  <c r="J128" i="3"/>
  <c r="K128" i="3"/>
  <c r="H129" i="3"/>
  <c r="I129" i="3"/>
  <c r="J129" i="3"/>
  <c r="K129" i="3"/>
  <c r="H130" i="3"/>
  <c r="I130" i="3"/>
  <c r="J130" i="3"/>
  <c r="K130" i="3"/>
  <c r="H131" i="3"/>
  <c r="I131" i="3"/>
  <c r="J131" i="3"/>
  <c r="K131" i="3"/>
  <c r="H132" i="3"/>
  <c r="I132" i="3"/>
  <c r="J132" i="3"/>
  <c r="K132" i="3"/>
  <c r="H133" i="3"/>
  <c r="I133" i="3"/>
  <c r="J133" i="3"/>
  <c r="K133" i="3"/>
  <c r="H134" i="3"/>
  <c r="I134" i="3"/>
  <c r="J134" i="3"/>
  <c r="K134" i="3"/>
  <c r="H135" i="3"/>
  <c r="I135" i="3"/>
  <c r="J135" i="3"/>
  <c r="K135" i="3"/>
  <c r="H136" i="3"/>
  <c r="I136" i="3"/>
  <c r="J136" i="3"/>
  <c r="K136" i="3"/>
  <c r="H137" i="3"/>
  <c r="I137" i="3"/>
  <c r="J137" i="3"/>
  <c r="K137" i="3"/>
  <c r="H138" i="3"/>
  <c r="I138" i="3"/>
  <c r="J138" i="3"/>
  <c r="K138" i="3"/>
  <c r="H139" i="3"/>
  <c r="I139" i="3"/>
  <c r="J139" i="3"/>
  <c r="K139" i="3"/>
  <c r="H140" i="3"/>
  <c r="I140" i="3"/>
  <c r="J140" i="3"/>
  <c r="K140" i="3"/>
  <c r="H141" i="3"/>
  <c r="I141" i="3"/>
  <c r="J141" i="3"/>
  <c r="K141" i="3"/>
  <c r="H142" i="3"/>
  <c r="I142" i="3"/>
  <c r="J142" i="3"/>
  <c r="K142" i="3"/>
  <c r="H143" i="3"/>
  <c r="I143" i="3"/>
  <c r="J143" i="3"/>
  <c r="K143" i="3"/>
  <c r="H144" i="3"/>
  <c r="I144" i="3"/>
  <c r="J144" i="3"/>
  <c r="K144" i="3"/>
  <c r="H145" i="3"/>
  <c r="I145" i="3"/>
  <c r="J145" i="3"/>
  <c r="K145" i="3"/>
  <c r="H146" i="3"/>
  <c r="I146" i="3"/>
  <c r="J146" i="3"/>
  <c r="K146" i="3"/>
  <c r="H147" i="3"/>
  <c r="I147" i="3"/>
  <c r="J147" i="3"/>
  <c r="K147" i="3"/>
  <c r="H148" i="3"/>
  <c r="I148" i="3"/>
  <c r="J148" i="3"/>
  <c r="K148" i="3"/>
  <c r="H149" i="3"/>
  <c r="I149" i="3"/>
  <c r="J149" i="3"/>
  <c r="K149" i="3"/>
  <c r="H150" i="3"/>
  <c r="I150" i="3"/>
  <c r="J150" i="3"/>
  <c r="K150" i="3"/>
  <c r="H151" i="3"/>
  <c r="I151" i="3"/>
  <c r="J151" i="3"/>
  <c r="K151" i="3"/>
  <c r="H152" i="3"/>
  <c r="I152" i="3"/>
  <c r="J152" i="3"/>
  <c r="K152" i="3"/>
  <c r="H153" i="3"/>
  <c r="I153" i="3"/>
  <c r="J153" i="3"/>
  <c r="K153" i="3"/>
  <c r="H154" i="3"/>
  <c r="I154" i="3"/>
  <c r="J154" i="3"/>
  <c r="K154" i="3"/>
  <c r="H155" i="3"/>
  <c r="I155" i="3"/>
  <c r="J155" i="3"/>
  <c r="K155" i="3"/>
  <c r="H156" i="3"/>
  <c r="I156" i="3"/>
  <c r="J156" i="3"/>
  <c r="K156" i="3"/>
  <c r="H157" i="3"/>
  <c r="I157" i="3"/>
  <c r="J157" i="3"/>
  <c r="K157" i="3"/>
  <c r="H158" i="3"/>
  <c r="I158" i="3"/>
  <c r="J158" i="3"/>
  <c r="K158" i="3"/>
  <c r="H159" i="3"/>
  <c r="I159" i="3"/>
  <c r="J159" i="3"/>
  <c r="K159" i="3"/>
  <c r="H160" i="3"/>
  <c r="I160" i="3"/>
  <c r="J160" i="3"/>
  <c r="K160" i="3"/>
  <c r="H161" i="3"/>
  <c r="I161" i="3"/>
  <c r="J161" i="3"/>
  <c r="K161" i="3"/>
  <c r="H162" i="3"/>
  <c r="I162" i="3"/>
  <c r="J162" i="3"/>
  <c r="K162" i="3"/>
  <c r="H163" i="3"/>
  <c r="I163" i="3"/>
  <c r="J163" i="3"/>
  <c r="K163" i="3"/>
  <c r="H164" i="3"/>
  <c r="I164" i="3"/>
  <c r="J164" i="3"/>
  <c r="K164" i="3"/>
  <c r="H165" i="3"/>
  <c r="I165" i="3"/>
  <c r="J165" i="3"/>
  <c r="K165" i="3"/>
  <c r="H166" i="3"/>
  <c r="I166" i="3"/>
  <c r="J166" i="3"/>
  <c r="K166" i="3"/>
  <c r="H167" i="3"/>
  <c r="I167" i="3"/>
  <c r="J167" i="3"/>
  <c r="K167" i="3"/>
  <c r="H168" i="3"/>
  <c r="I168" i="3"/>
  <c r="J168" i="3"/>
  <c r="K168" i="3"/>
  <c r="H169" i="3"/>
  <c r="I169" i="3"/>
  <c r="J169" i="3"/>
  <c r="K169" i="3"/>
  <c r="H170" i="3"/>
  <c r="I170" i="3"/>
  <c r="J170" i="3"/>
  <c r="K170" i="3"/>
  <c r="H171" i="3"/>
  <c r="I171" i="3"/>
  <c r="J171" i="3"/>
  <c r="K171" i="3"/>
  <c r="H172" i="3"/>
  <c r="I172" i="3"/>
  <c r="J172" i="3"/>
  <c r="K172" i="3"/>
  <c r="H173" i="3"/>
  <c r="I173" i="3"/>
  <c r="J173" i="3"/>
  <c r="K173" i="3"/>
  <c r="H174" i="3"/>
  <c r="I174" i="3"/>
  <c r="J174" i="3"/>
  <c r="K174" i="3"/>
  <c r="H175" i="3"/>
  <c r="I175" i="3"/>
  <c r="J175" i="3"/>
  <c r="K175" i="3"/>
  <c r="H176" i="3"/>
  <c r="I176" i="3"/>
  <c r="J176" i="3"/>
  <c r="K176" i="3"/>
  <c r="H177" i="3"/>
  <c r="I177" i="3"/>
  <c r="J177" i="3"/>
  <c r="K177" i="3"/>
  <c r="H178" i="3"/>
  <c r="I178" i="3"/>
  <c r="J178" i="3"/>
  <c r="K178" i="3"/>
  <c r="H179" i="3"/>
  <c r="I179" i="3"/>
  <c r="J179" i="3"/>
  <c r="K179" i="3"/>
  <c r="H180" i="3"/>
  <c r="I180" i="3"/>
  <c r="J180" i="3"/>
  <c r="K180" i="3"/>
  <c r="H181" i="3"/>
  <c r="I181" i="3"/>
  <c r="J181" i="3"/>
  <c r="K181" i="3"/>
  <c r="H182" i="3"/>
  <c r="I182" i="3"/>
  <c r="J182" i="3"/>
  <c r="K182" i="3"/>
  <c r="H183" i="3"/>
  <c r="I183" i="3"/>
  <c r="J183" i="3"/>
  <c r="K183" i="3"/>
  <c r="H184" i="3"/>
  <c r="I184" i="3"/>
  <c r="J184" i="3"/>
  <c r="K184" i="3"/>
  <c r="H185" i="3"/>
  <c r="I185" i="3"/>
  <c r="J185" i="3"/>
  <c r="K185" i="3"/>
  <c r="H186" i="3"/>
  <c r="I186" i="3"/>
  <c r="J186" i="3"/>
  <c r="K186" i="3"/>
  <c r="H187" i="3"/>
  <c r="I187" i="3"/>
  <c r="J187" i="3"/>
  <c r="K187" i="3"/>
  <c r="H188" i="3"/>
  <c r="I188" i="3"/>
  <c r="J188" i="3"/>
  <c r="K188" i="3"/>
  <c r="H189" i="3"/>
  <c r="I189" i="3"/>
  <c r="J189" i="3"/>
  <c r="K189" i="3"/>
  <c r="H190" i="3"/>
  <c r="I190" i="3"/>
  <c r="J190" i="3"/>
  <c r="K190" i="3"/>
  <c r="H191" i="3"/>
  <c r="I191" i="3"/>
  <c r="J191" i="3"/>
  <c r="K191" i="3"/>
  <c r="H192" i="3"/>
  <c r="I192" i="3"/>
  <c r="J192" i="3"/>
  <c r="K192" i="3"/>
  <c r="H193" i="3"/>
  <c r="I193" i="3"/>
  <c r="J193" i="3"/>
  <c r="K193" i="3"/>
  <c r="H194" i="3"/>
  <c r="I194" i="3"/>
  <c r="J194" i="3"/>
  <c r="K194" i="3"/>
  <c r="H195" i="3"/>
  <c r="I195" i="3"/>
  <c r="J195" i="3"/>
  <c r="K195" i="3"/>
  <c r="H196" i="3"/>
  <c r="I196" i="3"/>
  <c r="J196" i="3"/>
  <c r="K196" i="3"/>
  <c r="H197" i="3"/>
  <c r="I197" i="3"/>
  <c r="J197" i="3"/>
  <c r="K197" i="3"/>
  <c r="H198" i="3"/>
  <c r="I198" i="3"/>
  <c r="J198" i="3"/>
  <c r="K198" i="3"/>
  <c r="H199" i="3"/>
  <c r="I199" i="3"/>
  <c r="J199" i="3"/>
  <c r="K199" i="3"/>
  <c r="H200" i="3"/>
  <c r="I200" i="3"/>
  <c r="J200" i="3"/>
  <c r="K200" i="3"/>
  <c r="H201" i="3"/>
  <c r="I201" i="3"/>
  <c r="J201" i="3"/>
  <c r="K201" i="3"/>
  <c r="H202" i="3"/>
  <c r="I202" i="3"/>
  <c r="J202" i="3"/>
  <c r="K202" i="3"/>
  <c r="H203" i="3"/>
  <c r="I203" i="3"/>
  <c r="J203" i="3"/>
  <c r="K203" i="3"/>
  <c r="H204" i="3"/>
  <c r="I204" i="3"/>
  <c r="J204" i="3"/>
  <c r="K204" i="3"/>
  <c r="H205" i="3"/>
  <c r="I205" i="3"/>
  <c r="J205" i="3"/>
  <c r="K205" i="3"/>
  <c r="H206" i="3"/>
  <c r="I206" i="3"/>
  <c r="J206" i="3"/>
  <c r="K206" i="3"/>
  <c r="H207" i="3"/>
  <c r="I207" i="3"/>
  <c r="J207" i="3"/>
  <c r="K207" i="3"/>
  <c r="H208" i="3"/>
  <c r="I208" i="3"/>
  <c r="J208" i="3"/>
  <c r="K208" i="3"/>
  <c r="H209" i="3"/>
  <c r="I209" i="3"/>
  <c r="J209" i="3"/>
  <c r="K209" i="3"/>
  <c r="H210" i="3"/>
  <c r="I210" i="3"/>
  <c r="J210" i="3"/>
  <c r="K210" i="3"/>
  <c r="H211" i="3"/>
  <c r="I211" i="3"/>
  <c r="J211" i="3"/>
  <c r="K211" i="3"/>
  <c r="H212" i="3"/>
  <c r="I212" i="3"/>
  <c r="J212" i="3"/>
  <c r="K212" i="3"/>
  <c r="H213" i="3"/>
  <c r="I213" i="3"/>
  <c r="J213" i="3"/>
  <c r="K213" i="3"/>
  <c r="H214" i="3"/>
  <c r="I214" i="3"/>
  <c r="J214" i="3"/>
  <c r="K214" i="3"/>
  <c r="H215" i="3"/>
  <c r="I215" i="3"/>
  <c r="J215" i="3"/>
  <c r="K215" i="3"/>
  <c r="H216" i="3"/>
  <c r="I216" i="3"/>
  <c r="J216" i="3"/>
  <c r="K216" i="3"/>
  <c r="H217" i="3"/>
  <c r="I217" i="3"/>
  <c r="J217" i="3"/>
  <c r="K217" i="3"/>
  <c r="H218" i="3"/>
  <c r="I218" i="3"/>
  <c r="J218" i="3"/>
  <c r="K218" i="3"/>
  <c r="H219" i="3"/>
  <c r="I219" i="3"/>
  <c r="J219" i="3"/>
  <c r="K219" i="3"/>
  <c r="H220" i="3"/>
  <c r="I220" i="3"/>
  <c r="J220" i="3"/>
  <c r="K220" i="3"/>
  <c r="H221" i="3"/>
  <c r="I221" i="3"/>
  <c r="J221" i="3"/>
  <c r="K221" i="3"/>
  <c r="H222" i="3"/>
  <c r="I222" i="3"/>
  <c r="J222" i="3"/>
  <c r="K222" i="3"/>
  <c r="H223" i="3"/>
  <c r="I223" i="3"/>
  <c r="J223" i="3"/>
  <c r="K223" i="3"/>
  <c r="H224" i="3"/>
  <c r="I224" i="3"/>
  <c r="J224" i="3"/>
  <c r="K224" i="3"/>
  <c r="H225" i="3"/>
  <c r="I225" i="3"/>
  <c r="J225" i="3"/>
  <c r="K225" i="3"/>
  <c r="H226" i="3"/>
  <c r="I226" i="3"/>
  <c r="J226" i="3"/>
  <c r="K226" i="3"/>
  <c r="H227" i="3"/>
  <c r="I227" i="3"/>
  <c r="J227" i="3"/>
  <c r="K227" i="3"/>
  <c r="H228" i="3"/>
  <c r="I228" i="3"/>
  <c r="J228" i="3"/>
  <c r="K228" i="3"/>
  <c r="H229" i="3"/>
  <c r="I229" i="3"/>
  <c r="J229" i="3"/>
  <c r="K229" i="3"/>
  <c r="H230" i="3"/>
  <c r="I230" i="3"/>
  <c r="J230" i="3"/>
  <c r="K230" i="3"/>
  <c r="H231" i="3"/>
  <c r="I231" i="3"/>
  <c r="J231" i="3"/>
  <c r="K231" i="3"/>
  <c r="H232" i="3"/>
  <c r="I232" i="3"/>
  <c r="J232" i="3"/>
  <c r="K232" i="3"/>
  <c r="H233" i="3"/>
  <c r="I233" i="3"/>
  <c r="J233" i="3"/>
  <c r="K233" i="3"/>
  <c r="H234" i="3"/>
  <c r="I234" i="3"/>
  <c r="J234" i="3"/>
  <c r="K234" i="3"/>
  <c r="H235" i="3"/>
  <c r="I235" i="3"/>
  <c r="J235" i="3"/>
  <c r="K235" i="3"/>
  <c r="H236" i="3"/>
  <c r="I236" i="3"/>
  <c r="J236" i="3"/>
  <c r="K236" i="3"/>
  <c r="H237" i="3"/>
  <c r="I237" i="3"/>
  <c r="J237" i="3"/>
  <c r="K237" i="3"/>
  <c r="H238" i="3"/>
  <c r="I238" i="3"/>
  <c r="J238" i="3"/>
  <c r="K238" i="3"/>
  <c r="H239" i="3"/>
  <c r="I239" i="3"/>
  <c r="J239" i="3"/>
  <c r="K239" i="3"/>
  <c r="H240" i="3"/>
  <c r="I240" i="3"/>
  <c r="J240" i="3"/>
  <c r="K240" i="3"/>
  <c r="H241" i="3"/>
  <c r="I241" i="3"/>
  <c r="J241" i="3"/>
  <c r="K241" i="3"/>
  <c r="H242" i="3"/>
  <c r="I242" i="3"/>
  <c r="J242" i="3"/>
  <c r="K242" i="3"/>
  <c r="H243" i="3"/>
  <c r="I243" i="3"/>
  <c r="J243" i="3"/>
  <c r="K243" i="3"/>
  <c r="H244" i="3"/>
  <c r="I244" i="3"/>
  <c r="J244" i="3"/>
  <c r="K244" i="3"/>
  <c r="H245" i="3"/>
  <c r="I245" i="3"/>
  <c r="J245" i="3"/>
  <c r="K245" i="3"/>
  <c r="H246" i="3"/>
  <c r="I246" i="3"/>
  <c r="J246" i="3"/>
  <c r="K246" i="3"/>
  <c r="H247" i="3"/>
  <c r="I247" i="3"/>
  <c r="J247" i="3"/>
  <c r="K247" i="3"/>
  <c r="H248" i="3"/>
  <c r="I248" i="3"/>
  <c r="J248" i="3"/>
  <c r="K248" i="3"/>
  <c r="H249" i="3"/>
  <c r="I249" i="3"/>
  <c r="J249" i="3"/>
  <c r="K249" i="3"/>
  <c r="H250" i="3"/>
  <c r="I250" i="3"/>
  <c r="J250" i="3"/>
  <c r="K250" i="3"/>
  <c r="H251" i="3"/>
  <c r="I251" i="3"/>
  <c r="J251" i="3"/>
  <c r="K251" i="3"/>
  <c r="H252" i="3"/>
  <c r="I252" i="3"/>
  <c r="J252" i="3"/>
  <c r="K252" i="3"/>
  <c r="H253" i="3"/>
  <c r="I253" i="3"/>
  <c r="J253" i="3"/>
  <c r="K253" i="3"/>
  <c r="H254" i="3"/>
  <c r="I254" i="3"/>
  <c r="J254" i="3"/>
  <c r="K254" i="3"/>
  <c r="H255" i="3"/>
  <c r="I255" i="3"/>
  <c r="J255" i="3"/>
  <c r="K255" i="3"/>
  <c r="H256" i="3"/>
  <c r="I256" i="3"/>
  <c r="J256" i="3"/>
  <c r="K256" i="3"/>
  <c r="H257" i="3"/>
  <c r="I257" i="3"/>
  <c r="J257" i="3"/>
  <c r="K257" i="3"/>
  <c r="H258" i="3"/>
  <c r="I258" i="3"/>
  <c r="J258" i="3"/>
  <c r="K258" i="3"/>
  <c r="H259" i="3"/>
  <c r="I259" i="3"/>
  <c r="J259" i="3"/>
  <c r="K259" i="3"/>
  <c r="H260" i="3"/>
  <c r="I260" i="3"/>
  <c r="J260" i="3"/>
  <c r="K260" i="3"/>
  <c r="H261" i="3"/>
  <c r="I261" i="3"/>
  <c r="J261" i="3"/>
  <c r="K261" i="3"/>
  <c r="H262" i="3"/>
  <c r="I262" i="3"/>
  <c r="J262" i="3"/>
  <c r="K262" i="3"/>
  <c r="H263" i="3"/>
  <c r="I263" i="3"/>
  <c r="J263" i="3"/>
  <c r="K263" i="3"/>
  <c r="H264" i="3"/>
  <c r="I264" i="3"/>
  <c r="J264" i="3"/>
  <c r="K264" i="3"/>
  <c r="H265" i="3"/>
  <c r="I265" i="3"/>
  <c r="J265" i="3"/>
  <c r="K265" i="3"/>
  <c r="H266" i="3"/>
  <c r="I266" i="3"/>
  <c r="J266" i="3"/>
  <c r="K266" i="3"/>
  <c r="H267" i="3"/>
  <c r="I267" i="3"/>
  <c r="J267" i="3"/>
  <c r="K267" i="3"/>
  <c r="H268" i="3"/>
  <c r="I268" i="3"/>
  <c r="J268" i="3"/>
  <c r="K268" i="3"/>
  <c r="H269" i="3"/>
  <c r="I269" i="3"/>
  <c r="J269" i="3"/>
  <c r="K269" i="3"/>
  <c r="H270" i="3"/>
  <c r="I270" i="3"/>
  <c r="J270" i="3"/>
  <c r="K270" i="3"/>
  <c r="H271" i="3"/>
  <c r="I271" i="3"/>
  <c r="J271" i="3"/>
  <c r="K271" i="3"/>
  <c r="H272" i="3"/>
  <c r="I272" i="3"/>
  <c r="J272" i="3"/>
  <c r="K272" i="3"/>
  <c r="H273" i="3"/>
  <c r="I273" i="3"/>
  <c r="J273" i="3"/>
  <c r="K273" i="3"/>
  <c r="H274" i="3"/>
  <c r="I274" i="3"/>
  <c r="J274" i="3"/>
  <c r="K274" i="3"/>
  <c r="H275" i="3"/>
  <c r="I275" i="3"/>
  <c r="J275" i="3"/>
  <c r="K275" i="3"/>
  <c r="H276" i="3"/>
  <c r="I276" i="3"/>
  <c r="J276" i="3"/>
  <c r="K276" i="3"/>
  <c r="H277" i="3"/>
  <c r="I277" i="3"/>
  <c r="J277" i="3"/>
  <c r="K277" i="3"/>
  <c r="H278" i="3"/>
  <c r="I278" i="3"/>
  <c r="J278" i="3"/>
  <c r="K278" i="3"/>
  <c r="H279" i="3"/>
  <c r="I279" i="3"/>
  <c r="J279" i="3"/>
  <c r="K279" i="3"/>
  <c r="H280" i="3"/>
  <c r="I280" i="3"/>
  <c r="J280" i="3"/>
  <c r="K280" i="3"/>
  <c r="H281" i="3"/>
  <c r="I281" i="3"/>
  <c r="J281" i="3"/>
  <c r="K281" i="3"/>
  <c r="H282" i="3"/>
  <c r="I282" i="3"/>
  <c r="J282" i="3"/>
  <c r="K282" i="3"/>
  <c r="H283" i="3"/>
  <c r="I283" i="3"/>
  <c r="J283" i="3"/>
  <c r="K283" i="3"/>
  <c r="H284" i="3"/>
  <c r="I284" i="3"/>
  <c r="J284" i="3"/>
  <c r="K284" i="3"/>
  <c r="H285" i="3"/>
  <c r="I285" i="3"/>
  <c r="J285" i="3"/>
  <c r="K285" i="3"/>
  <c r="H286" i="3"/>
  <c r="I286" i="3"/>
  <c r="J286" i="3"/>
  <c r="K286" i="3"/>
  <c r="H287" i="3"/>
  <c r="I287" i="3"/>
  <c r="J287" i="3"/>
  <c r="K287" i="3"/>
  <c r="H288" i="3"/>
  <c r="I288" i="3"/>
  <c r="J288" i="3"/>
  <c r="K288" i="3"/>
  <c r="H289" i="3"/>
  <c r="I289" i="3"/>
  <c r="J289" i="3"/>
  <c r="K289" i="3"/>
  <c r="H290" i="3"/>
  <c r="I290" i="3"/>
  <c r="J290" i="3"/>
  <c r="K290" i="3"/>
  <c r="H291" i="3"/>
  <c r="I291" i="3"/>
  <c r="J291" i="3"/>
  <c r="K291" i="3"/>
  <c r="H292" i="3"/>
  <c r="I292" i="3"/>
  <c r="J292" i="3"/>
  <c r="K292" i="3"/>
  <c r="H293" i="3"/>
  <c r="I293" i="3"/>
  <c r="J293" i="3"/>
  <c r="K293" i="3"/>
  <c r="H294" i="3"/>
  <c r="I294" i="3"/>
  <c r="J294" i="3"/>
  <c r="K294" i="3"/>
  <c r="H295" i="3"/>
  <c r="I295" i="3"/>
  <c r="J295" i="3"/>
  <c r="K295" i="3"/>
  <c r="H296" i="3"/>
  <c r="I296" i="3"/>
  <c r="J296" i="3"/>
  <c r="K296" i="3"/>
  <c r="H297" i="3"/>
  <c r="I297" i="3"/>
  <c r="J297" i="3"/>
  <c r="K297" i="3"/>
  <c r="H298" i="3"/>
  <c r="I298" i="3"/>
  <c r="J298" i="3"/>
  <c r="K298" i="3"/>
  <c r="H299" i="3"/>
  <c r="I299" i="3"/>
  <c r="J299" i="3"/>
  <c r="K299" i="3"/>
  <c r="H300" i="3"/>
  <c r="I300" i="3"/>
  <c r="J300" i="3"/>
  <c r="K300" i="3"/>
  <c r="H301" i="3"/>
  <c r="I301" i="3"/>
  <c r="J301" i="3"/>
  <c r="K301" i="3"/>
  <c r="H302" i="3"/>
  <c r="I302" i="3"/>
  <c r="J302" i="3"/>
  <c r="K302" i="3"/>
  <c r="H303" i="3"/>
  <c r="I303" i="3"/>
  <c r="J303" i="3"/>
  <c r="K303" i="3"/>
  <c r="H304" i="3"/>
  <c r="I304" i="3"/>
  <c r="J304" i="3"/>
  <c r="K304" i="3"/>
  <c r="H305" i="3"/>
  <c r="I305" i="3"/>
  <c r="J305" i="3"/>
  <c r="K305" i="3"/>
  <c r="H306" i="3"/>
  <c r="I306" i="3"/>
  <c r="J306" i="3"/>
  <c r="K306" i="3"/>
  <c r="H307" i="3"/>
  <c r="I307" i="3"/>
  <c r="J307" i="3"/>
  <c r="K307" i="3"/>
  <c r="H308" i="3"/>
  <c r="I308" i="3"/>
  <c r="J308" i="3"/>
  <c r="K308" i="3"/>
  <c r="H309" i="3"/>
  <c r="I309" i="3"/>
  <c r="J309" i="3"/>
  <c r="K309" i="3"/>
  <c r="H310" i="3"/>
  <c r="I310" i="3"/>
  <c r="J310" i="3"/>
  <c r="K310" i="3"/>
  <c r="H311" i="3"/>
  <c r="I311" i="3"/>
  <c r="J311" i="3"/>
  <c r="K311" i="3"/>
  <c r="H312" i="3"/>
  <c r="I312" i="3"/>
  <c r="J312" i="3"/>
  <c r="K312" i="3"/>
  <c r="H313" i="3"/>
  <c r="I313" i="3"/>
  <c r="J313" i="3"/>
  <c r="K313" i="3"/>
  <c r="H314" i="3"/>
  <c r="I314" i="3"/>
  <c r="J314" i="3"/>
  <c r="K314" i="3"/>
  <c r="H315" i="3"/>
  <c r="I315" i="3"/>
  <c r="J315" i="3"/>
  <c r="K315" i="3"/>
  <c r="H316" i="3"/>
  <c r="I316" i="3"/>
  <c r="J316" i="3"/>
  <c r="K316" i="3"/>
  <c r="H317" i="3"/>
  <c r="I317" i="3"/>
  <c r="J317" i="3"/>
  <c r="K317" i="3"/>
  <c r="H318" i="3"/>
  <c r="I318" i="3"/>
  <c r="J318" i="3"/>
  <c r="K318" i="3"/>
  <c r="H319" i="3"/>
  <c r="I319" i="3"/>
  <c r="J319" i="3"/>
  <c r="K319" i="3"/>
  <c r="H320" i="3"/>
  <c r="I320" i="3"/>
  <c r="J320" i="3"/>
  <c r="K320" i="3"/>
  <c r="H321" i="3"/>
  <c r="I321" i="3"/>
  <c r="J321" i="3"/>
  <c r="K321" i="3"/>
  <c r="H322" i="3"/>
  <c r="I322" i="3"/>
  <c r="J322" i="3"/>
  <c r="K322" i="3"/>
  <c r="H323" i="3"/>
  <c r="I323" i="3"/>
  <c r="J323" i="3"/>
  <c r="K323" i="3"/>
  <c r="H324" i="3"/>
  <c r="I324" i="3"/>
  <c r="J324" i="3"/>
  <c r="K324" i="3"/>
  <c r="H325" i="3"/>
  <c r="I325" i="3"/>
  <c r="J325" i="3"/>
  <c r="K325" i="3"/>
  <c r="H326" i="3"/>
  <c r="I326" i="3"/>
  <c r="J326" i="3"/>
  <c r="K326" i="3"/>
  <c r="H327" i="3"/>
  <c r="I327" i="3"/>
  <c r="J327" i="3"/>
  <c r="K327" i="3"/>
  <c r="H328" i="3"/>
  <c r="I328" i="3"/>
  <c r="J328" i="3"/>
  <c r="K328" i="3"/>
  <c r="H329" i="3"/>
  <c r="I329" i="3"/>
  <c r="J329" i="3"/>
  <c r="K329" i="3"/>
  <c r="H330" i="3"/>
  <c r="I330" i="3"/>
  <c r="J330" i="3"/>
  <c r="K330" i="3"/>
  <c r="H331" i="3"/>
  <c r="I331" i="3"/>
  <c r="J331" i="3"/>
  <c r="K331" i="3"/>
  <c r="H332" i="3"/>
  <c r="I332" i="3"/>
  <c r="J332" i="3"/>
  <c r="K332" i="3"/>
  <c r="H333" i="3"/>
  <c r="I333" i="3"/>
  <c r="J333" i="3"/>
  <c r="K333" i="3"/>
  <c r="H334" i="3"/>
  <c r="I334" i="3"/>
  <c r="J334" i="3"/>
  <c r="K334" i="3"/>
  <c r="H335" i="3"/>
  <c r="I335" i="3"/>
  <c r="J335" i="3"/>
  <c r="K335" i="3"/>
  <c r="H336" i="3"/>
  <c r="I336" i="3"/>
  <c r="J336" i="3"/>
  <c r="K336" i="3"/>
  <c r="H337" i="3"/>
  <c r="I337" i="3"/>
  <c r="J337" i="3"/>
  <c r="K337" i="3"/>
  <c r="H338" i="3"/>
  <c r="I338" i="3"/>
  <c r="J338" i="3"/>
  <c r="K338" i="3"/>
  <c r="H339" i="3"/>
  <c r="I339" i="3"/>
  <c r="J339" i="3"/>
  <c r="K339" i="3"/>
  <c r="H340" i="3"/>
  <c r="I340" i="3"/>
  <c r="J340" i="3"/>
  <c r="K340" i="3"/>
  <c r="H341" i="3"/>
  <c r="I341" i="3"/>
  <c r="J341" i="3"/>
  <c r="K341" i="3"/>
  <c r="H342" i="3"/>
  <c r="I342" i="3"/>
  <c r="J342" i="3"/>
  <c r="K342" i="3"/>
  <c r="H343" i="3"/>
  <c r="I343" i="3"/>
  <c r="J343" i="3"/>
  <c r="K343" i="3"/>
  <c r="H344" i="3"/>
  <c r="I344" i="3"/>
  <c r="J344" i="3"/>
  <c r="K344" i="3"/>
  <c r="H345" i="3"/>
  <c r="I345" i="3"/>
  <c r="J345" i="3"/>
  <c r="K345" i="3"/>
  <c r="H346" i="3"/>
  <c r="I346" i="3"/>
  <c r="J346" i="3"/>
  <c r="K346" i="3"/>
  <c r="H347" i="3"/>
  <c r="I347" i="3"/>
  <c r="J347" i="3"/>
  <c r="K347" i="3"/>
  <c r="H348" i="3"/>
  <c r="I348" i="3"/>
  <c r="J348" i="3"/>
  <c r="K348" i="3"/>
  <c r="H349" i="3"/>
  <c r="I349" i="3"/>
  <c r="J349" i="3"/>
  <c r="K349" i="3"/>
  <c r="H350" i="3"/>
  <c r="I350" i="3"/>
  <c r="J350" i="3"/>
  <c r="K350" i="3"/>
  <c r="H351" i="3"/>
  <c r="I351" i="3"/>
  <c r="J351" i="3"/>
  <c r="K351" i="3"/>
  <c r="H352" i="3"/>
  <c r="I352" i="3"/>
  <c r="J352" i="3"/>
  <c r="K352" i="3"/>
  <c r="H353" i="3"/>
  <c r="I353" i="3"/>
  <c r="J353" i="3"/>
  <c r="K353" i="3"/>
  <c r="H354" i="3"/>
  <c r="I354" i="3"/>
  <c r="J354" i="3"/>
  <c r="K354" i="3"/>
  <c r="H355" i="3"/>
  <c r="I355" i="3"/>
  <c r="J355" i="3"/>
  <c r="K355" i="3"/>
  <c r="H356" i="3"/>
  <c r="I356" i="3"/>
  <c r="J356" i="3"/>
  <c r="K356" i="3"/>
  <c r="H357" i="3"/>
  <c r="I357" i="3"/>
  <c r="J357" i="3"/>
  <c r="K357" i="3"/>
  <c r="H358" i="3"/>
  <c r="I358" i="3"/>
  <c r="J358" i="3"/>
  <c r="K358" i="3"/>
  <c r="H359" i="3"/>
  <c r="I359" i="3"/>
  <c r="J359" i="3"/>
  <c r="K359" i="3"/>
  <c r="H360" i="3"/>
  <c r="I360" i="3"/>
  <c r="J360" i="3"/>
  <c r="K360" i="3"/>
  <c r="H361" i="3"/>
  <c r="I361" i="3"/>
  <c r="J361" i="3"/>
  <c r="K361" i="3"/>
  <c r="H362" i="3"/>
  <c r="I362" i="3"/>
  <c r="J362" i="3"/>
  <c r="K362" i="3"/>
  <c r="H363" i="3"/>
  <c r="I363" i="3"/>
  <c r="J363" i="3"/>
  <c r="H364" i="3"/>
  <c r="I364" i="3"/>
  <c r="J364" i="3"/>
  <c r="H365" i="3"/>
  <c r="I365" i="3"/>
  <c r="J365" i="3"/>
  <c r="BC46" i="17"/>
  <c r="C40" i="4"/>
  <c r="C39" i="4"/>
  <c r="BP45" i="17"/>
  <c r="BQ45" i="17" s="1"/>
  <c r="BP46" i="17"/>
  <c r="BP47" i="17"/>
  <c r="BP48" i="17"/>
  <c r="BP38" i="17"/>
  <c r="BR38" i="17" s="1"/>
  <c r="BP39" i="17"/>
  <c r="BS39" i="17" s="1"/>
  <c r="BP40" i="17"/>
  <c r="BP41" i="17"/>
  <c r="BR41" i="17" s="1"/>
  <c r="BP31" i="17"/>
  <c r="BQ31" i="17" s="1"/>
  <c r="BP32" i="17"/>
  <c r="BQ32" i="17" s="1"/>
  <c r="BP33" i="17"/>
  <c r="BS33" i="17" s="1"/>
  <c r="BP34" i="17"/>
  <c r="BR34" i="17" s="1"/>
  <c r="BP24" i="17"/>
  <c r="BS24" i="17" s="1"/>
  <c r="BP25" i="17"/>
  <c r="BQ25" i="17" s="1"/>
  <c r="BP26" i="17"/>
  <c r="BP27" i="17"/>
  <c r="BQ27" i="17" s="1"/>
  <c r="BP17" i="17"/>
  <c r="BQ17" i="17" s="1"/>
  <c r="BP18" i="17"/>
  <c r="BS18" i="17" s="1"/>
  <c r="BP19" i="17"/>
  <c r="BQ19" i="17" s="1"/>
  <c r="BP20" i="17"/>
  <c r="BQ20" i="17" s="1"/>
  <c r="BP10" i="17"/>
  <c r="BQ10" i="17" s="1"/>
  <c r="BP11" i="17"/>
  <c r="BS11" i="17" s="1"/>
  <c r="BP12" i="17"/>
  <c r="BP13" i="17"/>
  <c r="BR13" i="17" s="1"/>
  <c r="BU48" i="17"/>
  <c r="BU47" i="17"/>
  <c r="BU46" i="17"/>
  <c r="BU45" i="17"/>
  <c r="BU41" i="17"/>
  <c r="BU40" i="17"/>
  <c r="BU39" i="17"/>
  <c r="BU38" i="17"/>
  <c r="BU34" i="17"/>
  <c r="BU33" i="17"/>
  <c r="BU32" i="17"/>
  <c r="BU31" i="17"/>
  <c r="BU27" i="17"/>
  <c r="BU26" i="17"/>
  <c r="BU25" i="17"/>
  <c r="BU24" i="17"/>
  <c r="BU20" i="17"/>
  <c r="BU19" i="17"/>
  <c r="BU18" i="17"/>
  <c r="BU17" i="17"/>
  <c r="BU10" i="17"/>
  <c r="BU11" i="17"/>
  <c r="BU12" i="17"/>
  <c r="BU13" i="17"/>
  <c r="DD8" i="17"/>
  <c r="DP3" i="18"/>
  <c r="S12" i="2"/>
  <c r="AK25" i="17" s="1"/>
  <c r="D3" i="2"/>
  <c r="E3" i="2"/>
  <c r="F3" i="2"/>
  <c r="G3" i="2" s="1"/>
  <c r="AH7" i="17"/>
  <c r="DD10" i="17"/>
  <c r="DD9" i="17"/>
  <c r="B72" i="9" s="1"/>
  <c r="C47" i="4"/>
  <c r="DL34" i="17" s="1"/>
  <c r="AX11" i="14" s="1"/>
  <c r="J16" i="2"/>
  <c r="L16" i="2"/>
  <c r="AN61" i="14" s="1"/>
  <c r="J17" i="2"/>
  <c r="AO43" i="17" s="1"/>
  <c r="L17" i="2"/>
  <c r="AO61" i="14" s="1"/>
  <c r="J18" i="2"/>
  <c r="L18" i="2"/>
  <c r="J19" i="2"/>
  <c r="AO47" i="17" s="1"/>
  <c r="L19" i="2"/>
  <c r="AQ61" i="14" s="1"/>
  <c r="AZ46" i="17"/>
  <c r="AZ40" i="17"/>
  <c r="EM3" i="18" s="1"/>
  <c r="AZ26" i="17"/>
  <c r="AZ16" i="17"/>
  <c r="BB16" i="17" s="1"/>
  <c r="AZ18" i="17"/>
  <c r="BB18" i="17" s="1"/>
  <c r="AZ14" i="17"/>
  <c r="BB14" i="17" s="1"/>
  <c r="BB12" i="17"/>
  <c r="AZ10" i="17"/>
  <c r="BB10" i="17" s="1"/>
  <c r="E4" i="7"/>
  <c r="F4" i="7"/>
  <c r="BT45" i="17"/>
  <c r="BT46" i="17"/>
  <c r="BT47" i="17"/>
  <c r="BT48" i="17"/>
  <c r="AZ38" i="17"/>
  <c r="U4" i="2"/>
  <c r="I12" i="2"/>
  <c r="AT25" i="17" s="1"/>
  <c r="L12" i="2"/>
  <c r="K39" i="14"/>
  <c r="AM37" i="14" s="1"/>
  <c r="K30" i="14"/>
  <c r="AM36" i="14" s="1"/>
  <c r="K27" i="14"/>
  <c r="AM35" i="14" s="1"/>
  <c r="K24" i="14"/>
  <c r="AM34" i="14" s="1"/>
  <c r="K21" i="14"/>
  <c r="AM33" i="14" s="1"/>
  <c r="K18" i="14"/>
  <c r="AM32" i="14" s="1"/>
  <c r="K15" i="14"/>
  <c r="AM31" i="14" s="1"/>
  <c r="K12" i="14"/>
  <c r="AM30" i="14" s="1"/>
  <c r="K9" i="14"/>
  <c r="AM29" i="14" s="1"/>
  <c r="K6" i="14"/>
  <c r="AM28" i="14" s="1"/>
  <c r="K3" i="14"/>
  <c r="AM27" i="14" s="1"/>
  <c r="BT17" i="17"/>
  <c r="BT18" i="17"/>
  <c r="BT19" i="17"/>
  <c r="BT20" i="17"/>
  <c r="BT10" i="17"/>
  <c r="BT11" i="17"/>
  <c r="BT12" i="17"/>
  <c r="BT13" i="17"/>
  <c r="BT38" i="17"/>
  <c r="BT39" i="17"/>
  <c r="BT40" i="17"/>
  <c r="BT41" i="17"/>
  <c r="BT31" i="17"/>
  <c r="BT32" i="17"/>
  <c r="BT33" i="17"/>
  <c r="BT34" i="17"/>
  <c r="BT24" i="17"/>
  <c r="BT25" i="17"/>
  <c r="BT26" i="17"/>
  <c r="BT27" i="17"/>
  <c r="AQ62" i="14"/>
  <c r="AP62" i="14"/>
  <c r="AO62" i="14"/>
  <c r="AN62" i="14"/>
  <c r="AQ60" i="14"/>
  <c r="AP60" i="14"/>
  <c r="AO60" i="14"/>
  <c r="AN60" i="14"/>
  <c r="AM62" i="14"/>
  <c r="AM60" i="14"/>
  <c r="AO52" i="14"/>
  <c r="AP52" i="14"/>
  <c r="AQ52" i="14"/>
  <c r="AO53" i="14"/>
  <c r="AP53" i="14"/>
  <c r="AQ53" i="14"/>
  <c r="AO54" i="14"/>
  <c r="AP54" i="14"/>
  <c r="AQ54" i="14"/>
  <c r="AO55" i="14"/>
  <c r="AP55" i="14"/>
  <c r="AQ55" i="14"/>
  <c r="AO56" i="14"/>
  <c r="AP56" i="14"/>
  <c r="AQ56" i="14"/>
  <c r="AO57" i="14"/>
  <c r="AP57" i="14"/>
  <c r="AQ57" i="14"/>
  <c r="AO58" i="14"/>
  <c r="AP58" i="14"/>
  <c r="AQ58" i="14"/>
  <c r="AO59" i="14"/>
  <c r="AP59" i="14"/>
  <c r="AQ59" i="14"/>
  <c r="AM59" i="14"/>
  <c r="AM58" i="14"/>
  <c r="AM57" i="14"/>
  <c r="AM56" i="14"/>
  <c r="AM55" i="14"/>
  <c r="AM54" i="14"/>
  <c r="AM53" i="14"/>
  <c r="AN59" i="14"/>
  <c r="AN58" i="14"/>
  <c r="AN57" i="14"/>
  <c r="AN56" i="14"/>
  <c r="AN55" i="14"/>
  <c r="AN54" i="14"/>
  <c r="AN53" i="14"/>
  <c r="AN52" i="14"/>
  <c r="AM52" i="14"/>
  <c r="HC22" i="17"/>
  <c r="M36" i="17" s="1"/>
  <c r="AZ36" i="17"/>
  <c r="AZ34" i="17"/>
  <c r="EJ3" i="18" s="1"/>
  <c r="AZ32" i="17"/>
  <c r="AZ30" i="17"/>
  <c r="AZ28" i="17"/>
  <c r="EH3" i="18" s="1"/>
  <c r="AZ23" i="17"/>
  <c r="AZ21" i="17"/>
  <c r="L6" i="14"/>
  <c r="L9" i="14"/>
  <c r="L12" i="14"/>
  <c r="L15" i="14"/>
  <c r="L18" i="14"/>
  <c r="L21" i="14"/>
  <c r="L24" i="14"/>
  <c r="L27" i="14"/>
  <c r="L30" i="14"/>
  <c r="L33" i="14"/>
  <c r="L36" i="14"/>
  <c r="L39" i="14"/>
  <c r="L42" i="14"/>
  <c r="K33" i="14"/>
  <c r="K36" i="14"/>
  <c r="K42" i="14"/>
  <c r="J6" i="14"/>
  <c r="J9" i="14"/>
  <c r="J12" i="14"/>
  <c r="J15" i="14"/>
  <c r="J18" i="14"/>
  <c r="J21" i="14"/>
  <c r="J24" i="14"/>
  <c r="J27" i="14"/>
  <c r="J30" i="14"/>
  <c r="J33" i="14"/>
  <c r="J36" i="14"/>
  <c r="J39" i="14"/>
  <c r="J3" i="14"/>
  <c r="L3" i="14"/>
  <c r="AU21" i="14"/>
  <c r="C11" i="4"/>
  <c r="DL10" i="17" s="1"/>
  <c r="HD22" i="17"/>
  <c r="O36" i="17" s="1"/>
  <c r="O12" i="3"/>
  <c r="J9" i="20"/>
  <c r="I9" i="20"/>
  <c r="F9" i="20"/>
  <c r="B35" i="19"/>
  <c r="B9" i="20" s="1"/>
  <c r="B36" i="19"/>
  <c r="A31" i="19" s="1"/>
  <c r="J8" i="20"/>
  <c r="I8" i="20"/>
  <c r="F8" i="20"/>
  <c r="J7" i="20"/>
  <c r="I7" i="20"/>
  <c r="H7" i="20"/>
  <c r="G7" i="20"/>
  <c r="F7" i="20"/>
  <c r="E7" i="20"/>
  <c r="D7" i="20"/>
  <c r="J6" i="20"/>
  <c r="I6" i="20"/>
  <c r="F6" i="20"/>
  <c r="J5" i="20"/>
  <c r="I5" i="20"/>
  <c r="F5" i="20"/>
  <c r="J4" i="20"/>
  <c r="I4" i="20"/>
  <c r="F4" i="20"/>
  <c r="J3" i="20"/>
  <c r="I3" i="20"/>
  <c r="G3" i="20"/>
  <c r="F3" i="20"/>
  <c r="D3" i="20"/>
  <c r="C34" i="4"/>
  <c r="Q12" i="2" s="1"/>
  <c r="AI25" i="17" s="1"/>
  <c r="F2" i="20"/>
  <c r="D2" i="20"/>
  <c r="D1" i="20"/>
  <c r="F1" i="20" s="1"/>
  <c r="F11" i="23"/>
  <c r="F10" i="23"/>
  <c r="F9" i="23"/>
  <c r="E5" i="23"/>
  <c r="D5" i="23"/>
  <c r="A5" i="23"/>
  <c r="K4" i="23"/>
  <c r="I4" i="23"/>
  <c r="H4" i="23"/>
  <c r="E4" i="23"/>
  <c r="D4" i="23"/>
  <c r="A4" i="23"/>
  <c r="K3" i="23"/>
  <c r="I3" i="23"/>
  <c r="H3" i="23"/>
  <c r="E3" i="23"/>
  <c r="D3" i="23"/>
  <c r="A3" i="23"/>
  <c r="K2" i="23"/>
  <c r="I2" i="23"/>
  <c r="H2" i="23"/>
  <c r="E2" i="23"/>
  <c r="D2" i="23"/>
  <c r="A2" i="23"/>
  <c r="K1" i="23"/>
  <c r="I1" i="23"/>
  <c r="H1" i="23"/>
  <c r="E1" i="23"/>
  <c r="D1" i="23"/>
  <c r="A1" i="23"/>
  <c r="C19" i="4"/>
  <c r="E31" i="19" s="1"/>
  <c r="D31" i="19" s="1"/>
  <c r="C17" i="4"/>
  <c r="E30" i="19" s="1"/>
  <c r="C18" i="4"/>
  <c r="D30" i="19" s="1"/>
  <c r="C41" i="4"/>
  <c r="E29" i="19" s="1"/>
  <c r="D29" i="19" s="1"/>
  <c r="C42" i="4"/>
  <c r="DL27" i="17" s="1"/>
  <c r="BX3" i="18" s="1"/>
  <c r="HB3" i="18" s="1"/>
  <c r="E28" i="19"/>
  <c r="D28" i="19" s="1"/>
  <c r="C33" i="4"/>
  <c r="E27" i="19" s="1"/>
  <c r="C29" i="4"/>
  <c r="E26" i="19" s="1"/>
  <c r="C32" i="4"/>
  <c r="D26" i="19"/>
  <c r="D25" i="19"/>
  <c r="C23" i="4"/>
  <c r="E24" i="19" s="1"/>
  <c r="D24" i="19" s="1"/>
  <c r="E23" i="19"/>
  <c r="D23" i="19" s="1"/>
  <c r="C25" i="4"/>
  <c r="E22" i="19" s="1"/>
  <c r="D22" i="19" s="1"/>
  <c r="D21" i="19"/>
  <c r="C37" i="4"/>
  <c r="E20" i="19" s="1"/>
  <c r="D20" i="19" s="1"/>
  <c r="C24" i="4"/>
  <c r="E19" i="19" s="1"/>
  <c r="D19" i="19" s="1"/>
  <c r="C22" i="4"/>
  <c r="E18" i="19" s="1"/>
  <c r="D18" i="19" s="1"/>
  <c r="C27" i="4"/>
  <c r="E17" i="19" s="1"/>
  <c r="D17" i="19" s="1"/>
  <c r="C50" i="4"/>
  <c r="E16" i="19" s="1"/>
  <c r="D16" i="19" s="1"/>
  <c r="C46" i="4"/>
  <c r="E15" i="19" s="1"/>
  <c r="C45" i="4"/>
  <c r="AX10" i="14" s="1"/>
  <c r="C20" i="4"/>
  <c r="E13" i="19" s="1"/>
  <c r="D13" i="19" s="1"/>
  <c r="C13" i="4"/>
  <c r="E12" i="19" s="1"/>
  <c r="C14" i="4"/>
  <c r="D12" i="19" s="1"/>
  <c r="AL9" i="4"/>
  <c r="C9" i="4" s="1"/>
  <c r="E9" i="19"/>
  <c r="AL10" i="4"/>
  <c r="C10" i="4" s="1"/>
  <c r="D6" i="13" s="1"/>
  <c r="E8" i="19"/>
  <c r="D8" i="19"/>
  <c r="C4" i="4"/>
  <c r="C5" i="4"/>
  <c r="D5" i="13" s="1"/>
  <c r="H5" i="13" s="1"/>
  <c r="C27" i="6"/>
  <c r="B200" i="9" s="1"/>
  <c r="EJ28" i="17"/>
  <c r="C28" i="6"/>
  <c r="EJ29" i="17" s="1"/>
  <c r="AX34" i="14" s="1"/>
  <c r="C29" i="6"/>
  <c r="EJ30" i="17"/>
  <c r="AX35" i="14" s="1"/>
  <c r="AT9" i="17"/>
  <c r="AH9" i="17"/>
  <c r="AH25" i="17"/>
  <c r="AS25" i="17"/>
  <c r="AP49" i="17"/>
  <c r="AR49" i="17"/>
  <c r="AQ25" i="17"/>
  <c r="AL3" i="18" s="1"/>
  <c r="C31" i="4"/>
  <c r="O4" i="3"/>
  <c r="DD21" i="17"/>
  <c r="O6" i="3"/>
  <c r="DD22" i="17"/>
  <c r="O9" i="3"/>
  <c r="DD24" i="17"/>
  <c r="O8" i="3"/>
  <c r="DD23" i="17"/>
  <c r="O11" i="3"/>
  <c r="DD17" i="17"/>
  <c r="BL3" i="18" s="1"/>
  <c r="GP3" i="18" s="1"/>
  <c r="DD33" i="17"/>
  <c r="BO3" i="18" s="1"/>
  <c r="GS3" i="18" s="1"/>
  <c r="DD34" i="17"/>
  <c r="BP3" i="18" s="1"/>
  <c r="GT3" i="18" s="1"/>
  <c r="FI34" i="17"/>
  <c r="FI38" i="17"/>
  <c r="CR3" i="18" s="1"/>
  <c r="FI40" i="17"/>
  <c r="FI42" i="17"/>
  <c r="CT3" i="18" s="1"/>
  <c r="FI44" i="17"/>
  <c r="CU3" i="18" s="1"/>
  <c r="FI46" i="17"/>
  <c r="CV3" i="18" s="1"/>
  <c r="FI48" i="17"/>
  <c r="CW3" i="18" s="1"/>
  <c r="EY35" i="17"/>
  <c r="EY37" i="17"/>
  <c r="EY39" i="17"/>
  <c r="EY41" i="17"/>
  <c r="EY43" i="17"/>
  <c r="C31" i="6"/>
  <c r="EJ34" i="17" s="1"/>
  <c r="C33" i="6"/>
  <c r="EJ35" i="17" s="1"/>
  <c r="C34" i="6"/>
  <c r="EJ36" i="17" s="1"/>
  <c r="C36" i="6"/>
  <c r="EJ37" i="17"/>
  <c r="C32" i="6"/>
  <c r="EJ33" i="17" s="1"/>
  <c r="C24" i="6"/>
  <c r="EJ24" i="17"/>
  <c r="C25" i="6"/>
  <c r="EJ25" i="17" s="1"/>
  <c r="C21" i="6"/>
  <c r="C22" i="6"/>
  <c r="C18" i="6"/>
  <c r="C19" i="6"/>
  <c r="EJ19" i="17" s="1"/>
  <c r="C7" i="6"/>
  <c r="C8" i="6"/>
  <c r="EJ13" i="17" s="1"/>
  <c r="AX20" i="14" s="1"/>
  <c r="C11" i="6"/>
  <c r="B172" i="9" s="1"/>
  <c r="C13" i="6"/>
  <c r="C15" i="6"/>
  <c r="C3" i="6"/>
  <c r="EJ7" i="17"/>
  <c r="C5" i="6"/>
  <c r="EJ9" i="17" s="1"/>
  <c r="C49" i="4"/>
  <c r="DL36" i="17" s="1"/>
  <c r="DL37" i="17"/>
  <c r="C51" i="4"/>
  <c r="DL38" i="17" s="1"/>
  <c r="C52" i="4"/>
  <c r="DL39" i="17" s="1"/>
  <c r="DL25" i="17"/>
  <c r="BW3" i="18" s="1"/>
  <c r="HA3" i="18" s="1"/>
  <c r="DL17" i="17"/>
  <c r="DL19" i="17"/>
  <c r="DL20" i="17"/>
  <c r="C15" i="4"/>
  <c r="DL12" i="17" s="1"/>
  <c r="EZ35" i="17"/>
  <c r="EZ37" i="17"/>
  <c r="EU37" i="17" s="1"/>
  <c r="EZ39" i="17"/>
  <c r="EZ41" i="17"/>
  <c r="EU41" i="17" s="1"/>
  <c r="EZ43" i="17"/>
  <c r="EU43" i="17" s="1"/>
  <c r="C45" i="6"/>
  <c r="AN45" i="14"/>
  <c r="E5" i="7"/>
  <c r="F5" i="7"/>
  <c r="E6" i="7"/>
  <c r="F6" i="7"/>
  <c r="E7" i="7"/>
  <c r="F7" i="7"/>
  <c r="E8" i="7"/>
  <c r="F8" i="7"/>
  <c r="E9" i="7"/>
  <c r="F9" i="7"/>
  <c r="E10" i="7"/>
  <c r="F10" i="7"/>
  <c r="E11" i="7"/>
  <c r="F11" i="7"/>
  <c r="E12" i="7"/>
  <c r="F12" i="7"/>
  <c r="E13" i="7"/>
  <c r="F13" i="7"/>
  <c r="E14" i="7"/>
  <c r="F14" i="7"/>
  <c r="E15" i="7"/>
  <c r="F15" i="7"/>
  <c r="E16" i="7"/>
  <c r="F16" i="7"/>
  <c r="E17" i="7"/>
  <c r="F17" i="7"/>
  <c r="E18" i="7"/>
  <c r="F18" i="7"/>
  <c r="E19" i="7"/>
  <c r="F19" i="7"/>
  <c r="E20" i="7"/>
  <c r="F20" i="7"/>
  <c r="E21" i="7"/>
  <c r="F21" i="7"/>
  <c r="E22" i="7"/>
  <c r="F22" i="7"/>
  <c r="E23" i="7"/>
  <c r="F23" i="7"/>
  <c r="E24" i="7"/>
  <c r="F24" i="7"/>
  <c r="E25" i="7"/>
  <c r="F25" i="7"/>
  <c r="M4" i="7"/>
  <c r="N4" i="7"/>
  <c r="M5" i="7"/>
  <c r="N5" i="7"/>
  <c r="M6" i="7"/>
  <c r="N6" i="7"/>
  <c r="M7" i="7"/>
  <c r="N7" i="7"/>
  <c r="M8" i="7"/>
  <c r="N8" i="7"/>
  <c r="M9" i="7"/>
  <c r="N9" i="7"/>
  <c r="M10" i="7"/>
  <c r="N10" i="7"/>
  <c r="M11" i="7"/>
  <c r="N11" i="7"/>
  <c r="M12" i="7"/>
  <c r="N12" i="7"/>
  <c r="M13" i="7"/>
  <c r="N13" i="7"/>
  <c r="M14" i="7"/>
  <c r="N14" i="7"/>
  <c r="M15" i="7"/>
  <c r="N15" i="7"/>
  <c r="M16" i="7"/>
  <c r="N16" i="7"/>
  <c r="M17" i="7"/>
  <c r="N17" i="7"/>
  <c r="M18" i="7"/>
  <c r="N18" i="7"/>
  <c r="M19" i="7"/>
  <c r="N19" i="7"/>
  <c r="M20" i="7"/>
  <c r="N20" i="7"/>
  <c r="M21" i="7"/>
  <c r="N21" i="7"/>
  <c r="M22" i="7"/>
  <c r="N22" i="7"/>
  <c r="M23" i="7"/>
  <c r="N23" i="7"/>
  <c r="M24" i="7"/>
  <c r="N24" i="7"/>
  <c r="M25" i="7"/>
  <c r="N25" i="7"/>
  <c r="CI14" i="17"/>
  <c r="CI17" i="17"/>
  <c r="CI11" i="17"/>
  <c r="C16" i="4"/>
  <c r="D3" i="13" s="1"/>
  <c r="AV25" i="17"/>
  <c r="AL49" i="17"/>
  <c r="AL25" i="17"/>
  <c r="AU14" i="17"/>
  <c r="G7" i="17"/>
  <c r="J14" i="17"/>
  <c r="A3" i="18" s="1"/>
  <c r="B202" i="9"/>
  <c r="B201" i="9"/>
  <c r="C12" i="6"/>
  <c r="B197" i="9" s="1"/>
  <c r="C14" i="6"/>
  <c r="B195" i="9" s="1"/>
  <c r="C37" i="6"/>
  <c r="B194" i="9" s="1"/>
  <c r="B189" i="9"/>
  <c r="B188" i="9"/>
  <c r="B187" i="9"/>
  <c r="B186" i="9"/>
  <c r="B182" i="9"/>
  <c r="B181" i="9" s="1"/>
  <c r="B178" i="9"/>
  <c r="B173" i="9"/>
  <c r="C4" i="6"/>
  <c r="EK8" i="17" s="1"/>
  <c r="B168" i="9"/>
  <c r="B167" i="9"/>
  <c r="B164" i="9"/>
  <c r="B150" i="9"/>
  <c r="B141" i="9"/>
  <c r="B129" i="9"/>
  <c r="B128" i="9"/>
  <c r="B127" i="9"/>
  <c r="O7" i="3"/>
  <c r="B126" i="9"/>
  <c r="B125" i="9"/>
  <c r="O5" i="3"/>
  <c r="B124" i="9"/>
  <c r="B117" i="9"/>
  <c r="B116" i="9"/>
  <c r="B115" i="9"/>
  <c r="D7" i="10"/>
  <c r="B105" i="9"/>
  <c r="B104" i="9"/>
  <c r="B103" i="9"/>
  <c r="D101" i="9"/>
  <c r="C101" i="9"/>
  <c r="B101" i="9"/>
  <c r="D100" i="9"/>
  <c r="C100" i="9"/>
  <c r="B100" i="9"/>
  <c r="D99" i="9"/>
  <c r="C99" i="9"/>
  <c r="B99" i="9"/>
  <c r="D98" i="9"/>
  <c r="C98" i="9"/>
  <c r="B98" i="9"/>
  <c r="B94" i="9"/>
  <c r="B93" i="9"/>
  <c r="C92" i="9"/>
  <c r="C90" i="9"/>
  <c r="C30" i="4"/>
  <c r="B90" i="9" s="1"/>
  <c r="B66" i="9"/>
  <c r="B64" i="9"/>
  <c r="C12" i="4"/>
  <c r="B63" i="9" s="1"/>
  <c r="B62" i="9"/>
  <c r="B59" i="9"/>
  <c r="B56" i="9"/>
  <c r="B54" i="9"/>
  <c r="B51" i="9"/>
  <c r="B50" i="9"/>
  <c r="B49" i="9"/>
  <c r="B48" i="9"/>
  <c r="B47" i="9"/>
  <c r="B44" i="9"/>
  <c r="C22" i="9"/>
  <c r="B22" i="9"/>
  <c r="B21" i="9"/>
  <c r="C20" i="9"/>
  <c r="B20" i="9"/>
  <c r="B19" i="9"/>
  <c r="AU14" i="14"/>
  <c r="AU16" i="14"/>
  <c r="AU18" i="14"/>
  <c r="AU5" i="14"/>
  <c r="AU7" i="14"/>
  <c r="AU46" i="14" s="1"/>
  <c r="AU8" i="14"/>
  <c r="AU47" i="14" s="1"/>
  <c r="AU6" i="14"/>
  <c r="AU12" i="14"/>
  <c r="CM3" i="18"/>
  <c r="AU9" i="14"/>
  <c r="AX39" i="14" s="1"/>
  <c r="AU19" i="14"/>
  <c r="AU17" i="14"/>
  <c r="AU15" i="14"/>
  <c r="AU13" i="14"/>
  <c r="H5" i="26"/>
  <c r="J4" i="26"/>
  <c r="E4" i="26"/>
  <c r="G3" i="26"/>
  <c r="M48" i="16"/>
  <c r="M47" i="16"/>
  <c r="M46" i="16"/>
  <c r="M44" i="16"/>
  <c r="M43" i="16"/>
  <c r="M42" i="16"/>
  <c r="M40" i="16"/>
  <c r="M38" i="16"/>
  <c r="M37" i="16"/>
  <c r="M36" i="16"/>
  <c r="M34" i="16"/>
  <c r="M33" i="16"/>
  <c r="M32" i="16"/>
  <c r="M30" i="16"/>
  <c r="M29" i="16"/>
  <c r="M28" i="16"/>
  <c r="M26" i="16"/>
  <c r="M25" i="16"/>
  <c r="M24" i="16"/>
  <c r="M22" i="16"/>
  <c r="M21" i="16"/>
  <c r="M19" i="16"/>
  <c r="M18" i="16"/>
  <c r="M17" i="16"/>
  <c r="M16" i="16"/>
  <c r="M13" i="16"/>
  <c r="M12" i="16"/>
  <c r="J12" i="16"/>
  <c r="M11" i="16"/>
  <c r="M9" i="16"/>
  <c r="J9" i="16"/>
  <c r="H5" i="16"/>
  <c r="J4" i="16"/>
  <c r="E4" i="16"/>
  <c r="G3" i="16"/>
  <c r="X2" i="16"/>
  <c r="HD41" i="17"/>
  <c r="HD40" i="17"/>
  <c r="HD39" i="17"/>
  <c r="CI20" i="17"/>
  <c r="HD38" i="17"/>
  <c r="O52" i="17" s="1"/>
  <c r="AK49" i="17"/>
  <c r="AJ49" i="17"/>
  <c r="HD37" i="17"/>
  <c r="EX43" i="17"/>
  <c r="HD36" i="17"/>
  <c r="O50" i="17" s="1"/>
  <c r="AR47" i="17"/>
  <c r="AP47" i="17"/>
  <c r="AL47" i="17"/>
  <c r="AU47" i="17" s="1"/>
  <c r="AK47" i="17"/>
  <c r="AT47" i="17" s="1"/>
  <c r="AJ47" i="17"/>
  <c r="AS47" i="17" s="1"/>
  <c r="AI47" i="17"/>
  <c r="AH47" i="17"/>
  <c r="HD35" i="17"/>
  <c r="EX41" i="17"/>
  <c r="HD34" i="17"/>
  <c r="AR45" i="17"/>
  <c r="AP45" i="17"/>
  <c r="AL45" i="17"/>
  <c r="AU45" i="17" s="1"/>
  <c r="AK45" i="17"/>
  <c r="AT45" i="17" s="1"/>
  <c r="AJ45" i="17"/>
  <c r="AS45" i="17" s="1"/>
  <c r="AI45" i="17"/>
  <c r="AH45" i="17"/>
  <c r="HD33" i="17"/>
  <c r="EX39" i="17"/>
  <c r="EU39" i="17"/>
  <c r="HD32" i="17"/>
  <c r="O48" i="17" s="1"/>
  <c r="AR43" i="17"/>
  <c r="AP43" i="17"/>
  <c r="AL43" i="17"/>
  <c r="AU43" i="17" s="1"/>
  <c r="AK43" i="17"/>
  <c r="AT43" i="17" s="1"/>
  <c r="AJ43" i="17"/>
  <c r="AS43" i="17" s="1"/>
  <c r="AI43" i="17"/>
  <c r="AH43" i="17"/>
  <c r="EX37" i="17"/>
  <c r="HD31" i="17"/>
  <c r="FF36" i="17"/>
  <c r="AR41" i="17"/>
  <c r="AP41" i="17"/>
  <c r="AL41" i="17"/>
  <c r="AU41" i="17" s="1"/>
  <c r="AK41" i="17"/>
  <c r="AT41" i="17" s="1"/>
  <c r="AJ41" i="17"/>
  <c r="AS41" i="17" s="1"/>
  <c r="AI41" i="17"/>
  <c r="AH41" i="17"/>
  <c r="HD30" i="17"/>
  <c r="EX35" i="17"/>
  <c r="HD29" i="17"/>
  <c r="HD28" i="17"/>
  <c r="HD27" i="17"/>
  <c r="O46" i="17" s="1"/>
  <c r="HD26" i="17"/>
  <c r="O44" i="17" s="1"/>
  <c r="HD25" i="17"/>
  <c r="O42" i="17" s="1"/>
  <c r="HD24" i="17"/>
  <c r="O32" i="17" s="1"/>
  <c r="HD23" i="17"/>
  <c r="O34" i="17" s="1"/>
  <c r="AJ25" i="17"/>
  <c r="HD20" i="17"/>
  <c r="CN20" i="17"/>
  <c r="CL20" i="17"/>
  <c r="CK20" i="17"/>
  <c r="CH20" i="17"/>
  <c r="HD19" i="17"/>
  <c r="O40" i="17" s="1"/>
  <c r="HD18" i="17"/>
  <c r="FE21" i="17"/>
  <c r="FC21" i="17"/>
  <c r="FA21" i="17"/>
  <c r="EY21" i="17"/>
  <c r="EU21" i="17"/>
  <c r="HD17" i="17"/>
  <c r="O38" i="17" s="1"/>
  <c r="FE19" i="17"/>
  <c r="FC19" i="17"/>
  <c r="FA19" i="17"/>
  <c r="EY19" i="17"/>
  <c r="EU19" i="17"/>
  <c r="CN17" i="17"/>
  <c r="CL17" i="17"/>
  <c r="CK17" i="17"/>
  <c r="CH17" i="17"/>
  <c r="HD16" i="17"/>
  <c r="O30" i="17" s="1"/>
  <c r="HD15" i="17"/>
  <c r="O28" i="17" s="1"/>
  <c r="FE17" i="17"/>
  <c r="FC17" i="17"/>
  <c r="FA17" i="17"/>
  <c r="EY17" i="17"/>
  <c r="EU17" i="17"/>
  <c r="AU17" i="17"/>
  <c r="AV17" i="17" s="1"/>
  <c r="AT17" i="17"/>
  <c r="AS17" i="17"/>
  <c r="AR17" i="17"/>
  <c r="AQ17" i="17"/>
  <c r="AP17" i="17"/>
  <c r="AO17" i="17"/>
  <c r="AN17" i="17"/>
  <c r="AM17" i="17"/>
  <c r="AL17" i="17"/>
  <c r="AK17" i="17"/>
  <c r="AJ17" i="17"/>
  <c r="AI17" i="17"/>
  <c r="AH17" i="17"/>
  <c r="HD14" i="17"/>
  <c r="O26" i="17" s="1"/>
  <c r="HC14" i="17"/>
  <c r="M26" i="17" s="1"/>
  <c r="AH16" i="17"/>
  <c r="AI16" i="17"/>
  <c r="AJ16" i="17"/>
  <c r="AK16" i="17"/>
  <c r="AL16" i="17"/>
  <c r="AM16" i="17"/>
  <c r="AN16" i="17"/>
  <c r="AO16" i="17"/>
  <c r="AP16" i="17"/>
  <c r="AQ16" i="17"/>
  <c r="AR16" i="17"/>
  <c r="AS16" i="17"/>
  <c r="AT16" i="17"/>
  <c r="HD13" i="17"/>
  <c r="O24" i="17" s="1"/>
  <c r="FE15" i="17"/>
  <c r="FC15" i="17"/>
  <c r="FA15" i="17"/>
  <c r="EY15" i="17"/>
  <c r="EU15" i="17"/>
  <c r="CN14" i="17"/>
  <c r="CL14" i="17"/>
  <c r="CK14" i="17"/>
  <c r="CH14" i="17"/>
  <c r="AT14" i="17"/>
  <c r="AS14" i="17"/>
  <c r="AR14" i="17"/>
  <c r="AQ14" i="17"/>
  <c r="AP14" i="17"/>
  <c r="AO14" i="17"/>
  <c r="AN14" i="17"/>
  <c r="AM14" i="17"/>
  <c r="AL14" i="17"/>
  <c r="AK14" i="17"/>
  <c r="AJ14" i="17"/>
  <c r="AI14" i="17"/>
  <c r="AH14" i="17"/>
  <c r="FE13" i="17"/>
  <c r="FC13" i="17"/>
  <c r="FA13" i="17"/>
  <c r="EY13" i="17"/>
  <c r="EU13" i="17"/>
  <c r="AU12" i="17"/>
  <c r="AV12" i="17" s="1"/>
  <c r="AT12" i="17"/>
  <c r="AS12" i="17"/>
  <c r="AR12" i="17"/>
  <c r="AQ12" i="17"/>
  <c r="AP12" i="17"/>
  <c r="AO12" i="17"/>
  <c r="AN12" i="17"/>
  <c r="AM12" i="17"/>
  <c r="AL12" i="17"/>
  <c r="AK12" i="17"/>
  <c r="AJ12" i="17"/>
  <c r="AI12" i="17"/>
  <c r="AH12" i="17"/>
  <c r="HD10" i="17"/>
  <c r="FE11" i="17"/>
  <c r="FC11" i="17"/>
  <c r="FA11" i="17"/>
  <c r="EY11" i="17"/>
  <c r="EU11" i="17"/>
  <c r="CN11" i="17"/>
  <c r="CL11" i="17"/>
  <c r="CK11" i="17"/>
  <c r="CJ11" i="17"/>
  <c r="CH11" i="17"/>
  <c r="AU10" i="17"/>
  <c r="AT10" i="17"/>
  <c r="AS10" i="17"/>
  <c r="AR10" i="17"/>
  <c r="AQ10" i="17"/>
  <c r="AP10" i="17"/>
  <c r="AO10" i="17"/>
  <c r="AN10" i="17"/>
  <c r="AM10" i="17"/>
  <c r="AL10" i="17"/>
  <c r="AK10" i="17"/>
  <c r="AJ10" i="17"/>
  <c r="AI10" i="17"/>
  <c r="AH10" i="17"/>
  <c r="I11" i="17"/>
  <c r="H11" i="17"/>
  <c r="HD9" i="17"/>
  <c r="HC9" i="17"/>
  <c r="FE9" i="17"/>
  <c r="FC9" i="17"/>
  <c r="FA9" i="17"/>
  <c r="EY9" i="17"/>
  <c r="EU9" i="17"/>
  <c r="AS9" i="17"/>
  <c r="AR9" i="17"/>
  <c r="AQ9" i="17"/>
  <c r="AP9" i="17"/>
  <c r="AO9" i="17"/>
  <c r="AN9" i="17"/>
  <c r="AM9" i="17"/>
  <c r="AL9" i="17"/>
  <c r="AK9" i="17"/>
  <c r="AJ9" i="17"/>
  <c r="AI9" i="17"/>
  <c r="HD8" i="17"/>
  <c r="FE7" i="17"/>
  <c r="FC7" i="17"/>
  <c r="FA7" i="17"/>
  <c r="EY7" i="17"/>
  <c r="EU7" i="17"/>
  <c r="AK7" i="17"/>
  <c r="AJ7" i="17"/>
  <c r="AI7" i="17"/>
  <c r="HC5" i="17"/>
  <c r="HB5" i="17" s="1"/>
  <c r="HA5" i="17" s="1"/>
  <c r="GZ5" i="17" s="1"/>
  <c r="GY5" i="17" s="1"/>
  <c r="GX5" i="17" s="1"/>
  <c r="GW5" i="17" s="1"/>
  <c r="C35" i="6"/>
  <c r="C16" i="6"/>
  <c r="BL37" i="25"/>
  <c r="BD37" i="25"/>
  <c r="AV37" i="25"/>
  <c r="AN37" i="25"/>
  <c r="AF37" i="25"/>
  <c r="X37" i="25"/>
  <c r="P37" i="25"/>
  <c r="H37" i="25"/>
  <c r="BL35" i="25"/>
  <c r="BD35" i="25"/>
  <c r="AV35" i="25"/>
  <c r="AN35" i="25"/>
  <c r="AF35" i="25"/>
  <c r="X35" i="25"/>
  <c r="P35" i="25"/>
  <c r="H35" i="25"/>
  <c r="BL33" i="25"/>
  <c r="BD33" i="25"/>
  <c r="AV33" i="25"/>
  <c r="AN33" i="25"/>
  <c r="AF33" i="25"/>
  <c r="X33" i="25"/>
  <c r="P33" i="25"/>
  <c r="H33" i="25"/>
  <c r="BL32" i="25"/>
  <c r="BI32" i="25"/>
  <c r="BD32" i="25"/>
  <c r="BA32" i="25"/>
  <c r="AV32" i="25"/>
  <c r="AS32" i="25"/>
  <c r="AN32" i="25"/>
  <c r="AK32" i="25"/>
  <c r="AF32" i="25"/>
  <c r="AC32" i="25"/>
  <c r="X32" i="25"/>
  <c r="U32" i="25"/>
  <c r="P32" i="25"/>
  <c r="M32" i="25"/>
  <c r="H32" i="25"/>
  <c r="E32" i="25"/>
  <c r="BL31" i="25"/>
  <c r="BI31" i="25"/>
  <c r="BD31" i="25"/>
  <c r="BA31" i="25"/>
  <c r="AV31" i="25"/>
  <c r="AS31" i="25"/>
  <c r="AN31" i="25"/>
  <c r="AK31" i="25"/>
  <c r="AF31" i="25"/>
  <c r="AC31" i="25"/>
  <c r="X31" i="25"/>
  <c r="U31" i="25"/>
  <c r="P31" i="25"/>
  <c r="M31" i="25"/>
  <c r="H31" i="25"/>
  <c r="E31" i="25"/>
  <c r="BL30" i="25"/>
  <c r="BI30" i="25"/>
  <c r="BJ30" i="25" s="1"/>
  <c r="BD30" i="25"/>
  <c r="BA30" i="25"/>
  <c r="BB30" i="25" s="1"/>
  <c r="AV30" i="25"/>
  <c r="AS30" i="25"/>
  <c r="AT30" i="25" s="1"/>
  <c r="AN30" i="25"/>
  <c r="AK30" i="25"/>
  <c r="AL30" i="25" s="1"/>
  <c r="AF30" i="25"/>
  <c r="AC30" i="25"/>
  <c r="AD30" i="25" s="1"/>
  <c r="X30" i="25"/>
  <c r="U30" i="25"/>
  <c r="V30" i="25" s="1"/>
  <c r="P30" i="25"/>
  <c r="M30" i="25"/>
  <c r="N30" i="25" s="1"/>
  <c r="H30" i="25"/>
  <c r="E30" i="25"/>
  <c r="F30" i="25" s="1"/>
  <c r="BL29" i="25"/>
  <c r="BI29" i="25"/>
  <c r="BD29" i="25"/>
  <c r="BA29" i="25"/>
  <c r="AV29" i="25"/>
  <c r="AS29" i="25"/>
  <c r="AN29" i="25"/>
  <c r="AK29" i="25"/>
  <c r="AF29" i="25"/>
  <c r="AC29" i="25"/>
  <c r="X29" i="25"/>
  <c r="U29" i="25"/>
  <c r="P29" i="25"/>
  <c r="M29" i="25"/>
  <c r="H29" i="25"/>
  <c r="E29" i="25"/>
  <c r="BL28" i="25"/>
  <c r="BI28" i="25"/>
  <c r="BD28" i="25"/>
  <c r="BA28" i="25"/>
  <c r="AV28" i="25"/>
  <c r="AS28" i="25"/>
  <c r="AN28" i="25"/>
  <c r="AK28" i="25"/>
  <c r="AF28" i="25"/>
  <c r="AC28" i="25"/>
  <c r="X28" i="25"/>
  <c r="U28" i="25"/>
  <c r="P28" i="25"/>
  <c r="M28" i="25"/>
  <c r="H28" i="25"/>
  <c r="E28" i="25"/>
  <c r="BL27" i="25"/>
  <c r="BI27" i="25"/>
  <c r="BJ27" i="25" s="1"/>
  <c r="BD27" i="25"/>
  <c r="BA27" i="25"/>
  <c r="BB27" i="25" s="1"/>
  <c r="BB35" i="25" s="1"/>
  <c r="AV27" i="25"/>
  <c r="AS27" i="25"/>
  <c r="AT27" i="25" s="1"/>
  <c r="AN27" i="25"/>
  <c r="AK27" i="25"/>
  <c r="AL27" i="25" s="1"/>
  <c r="AF27" i="25"/>
  <c r="AC27" i="25"/>
  <c r="AD27" i="25" s="1"/>
  <c r="X27" i="25"/>
  <c r="U27" i="25"/>
  <c r="V27" i="25" s="1"/>
  <c r="P27" i="25"/>
  <c r="M27" i="25"/>
  <c r="N27" i="25" s="1"/>
  <c r="N35" i="25" s="1"/>
  <c r="H27" i="25"/>
  <c r="E27" i="25"/>
  <c r="F27" i="25" s="1"/>
  <c r="BL24" i="25"/>
  <c r="BJ24" i="25"/>
  <c r="BD24" i="25"/>
  <c r="BB24" i="25"/>
  <c r="AV24" i="25"/>
  <c r="AT24" i="25"/>
  <c r="AN24" i="25"/>
  <c r="AL24" i="25"/>
  <c r="AF24" i="25"/>
  <c r="AD24" i="25"/>
  <c r="X24" i="25"/>
  <c r="V24" i="25"/>
  <c r="P24" i="25"/>
  <c r="N24" i="25"/>
  <c r="H24" i="25"/>
  <c r="F24" i="25"/>
  <c r="BL23" i="25"/>
  <c r="BI23" i="25"/>
  <c r="BD23" i="25"/>
  <c r="BA23" i="25"/>
  <c r="AV23" i="25"/>
  <c r="AS23" i="25"/>
  <c r="AN23" i="25"/>
  <c r="AK23" i="25"/>
  <c r="AF23" i="25"/>
  <c r="AC23" i="25"/>
  <c r="X23" i="25"/>
  <c r="U23" i="25"/>
  <c r="P23" i="25"/>
  <c r="M23" i="25"/>
  <c r="H23" i="25"/>
  <c r="E23" i="25"/>
  <c r="BL22" i="25"/>
  <c r="BI22" i="25"/>
  <c r="BD22" i="25"/>
  <c r="BA22" i="25"/>
  <c r="AV22" i="25"/>
  <c r="AS22" i="25"/>
  <c r="AN22" i="25"/>
  <c r="AK22" i="25"/>
  <c r="AF22" i="25"/>
  <c r="AC22" i="25"/>
  <c r="X22" i="25"/>
  <c r="U22" i="25"/>
  <c r="P22" i="25"/>
  <c r="M22" i="25"/>
  <c r="H22" i="25"/>
  <c r="E22" i="25"/>
  <c r="BL21" i="25"/>
  <c r="BI21" i="25"/>
  <c r="BD21" i="25"/>
  <c r="BA21" i="25"/>
  <c r="AV21" i="25"/>
  <c r="AS21" i="25"/>
  <c r="AN21" i="25"/>
  <c r="AK21" i="25"/>
  <c r="AF21" i="25"/>
  <c r="AC21" i="25"/>
  <c r="X21" i="25"/>
  <c r="U21" i="25"/>
  <c r="P21" i="25"/>
  <c r="M21" i="25"/>
  <c r="H21" i="25"/>
  <c r="E21" i="25"/>
  <c r="BL20" i="25"/>
  <c r="BI20" i="25"/>
  <c r="BD20" i="25"/>
  <c r="BA20" i="25"/>
  <c r="AV20" i="25"/>
  <c r="AS20" i="25"/>
  <c r="AN20" i="25"/>
  <c r="AK20" i="25"/>
  <c r="AF20" i="25"/>
  <c r="AC20" i="25"/>
  <c r="X20" i="25"/>
  <c r="U20" i="25"/>
  <c r="P20" i="25"/>
  <c r="M20" i="25"/>
  <c r="H20" i="25"/>
  <c r="E20" i="25"/>
  <c r="BL19" i="25"/>
  <c r="BI19" i="25"/>
  <c r="BD19" i="25"/>
  <c r="BA19" i="25"/>
  <c r="AV19" i="25"/>
  <c r="AS19" i="25"/>
  <c r="AN19" i="25"/>
  <c r="AK19" i="25"/>
  <c r="AF19" i="25"/>
  <c r="AC19" i="25"/>
  <c r="X19" i="25"/>
  <c r="U19" i="25"/>
  <c r="P19" i="25"/>
  <c r="M19" i="25"/>
  <c r="H19" i="25"/>
  <c r="E19" i="25"/>
  <c r="BL18" i="25"/>
  <c r="BJ18" i="25"/>
  <c r="BD18" i="25"/>
  <c r="BB18" i="25"/>
  <c r="AV18" i="25"/>
  <c r="AT18" i="25"/>
  <c r="AN18" i="25"/>
  <c r="AL18" i="25"/>
  <c r="AF18" i="25"/>
  <c r="AD18" i="25"/>
  <c r="X18" i="25"/>
  <c r="V18" i="25"/>
  <c r="P18" i="25"/>
  <c r="N18" i="25"/>
  <c r="H18" i="25"/>
  <c r="F18" i="25"/>
  <c r="BL17" i="25"/>
  <c r="BI17" i="25"/>
  <c r="BD17" i="25"/>
  <c r="BA17" i="25"/>
  <c r="AV17" i="25"/>
  <c r="AS17" i="25"/>
  <c r="AN17" i="25"/>
  <c r="AK17" i="25"/>
  <c r="AF17" i="25"/>
  <c r="AC17" i="25"/>
  <c r="X17" i="25"/>
  <c r="U17" i="25"/>
  <c r="P17" i="25"/>
  <c r="M17" i="25"/>
  <c r="H17" i="25"/>
  <c r="E17" i="25"/>
  <c r="BL16" i="25"/>
  <c r="BJ16" i="25"/>
  <c r="BD16" i="25"/>
  <c r="BB16" i="25"/>
  <c r="AV16" i="25"/>
  <c r="AT16" i="25"/>
  <c r="AN16" i="25"/>
  <c r="AL16" i="25"/>
  <c r="AF16" i="25"/>
  <c r="AD16" i="25"/>
  <c r="X16" i="25"/>
  <c r="V16" i="25"/>
  <c r="P16" i="25"/>
  <c r="N16" i="25"/>
  <c r="H16" i="25"/>
  <c r="F16" i="25"/>
  <c r="BL15" i="25"/>
  <c r="BI15" i="25"/>
  <c r="BD15" i="25"/>
  <c r="BA15" i="25"/>
  <c r="AV15" i="25"/>
  <c r="AS15" i="25"/>
  <c r="AN15" i="25"/>
  <c r="AK15" i="25"/>
  <c r="AF15" i="25"/>
  <c r="AC15" i="25"/>
  <c r="X15" i="25"/>
  <c r="U15" i="25"/>
  <c r="P15" i="25"/>
  <c r="M15" i="25"/>
  <c r="H15" i="25"/>
  <c r="E15" i="25"/>
  <c r="BL14" i="25"/>
  <c r="BI14" i="25"/>
  <c r="BD14" i="25"/>
  <c r="BA14" i="25"/>
  <c r="AV14" i="25"/>
  <c r="AS14" i="25"/>
  <c r="AN14" i="25"/>
  <c r="AK14" i="25"/>
  <c r="AF14" i="25"/>
  <c r="AC14" i="25"/>
  <c r="X14" i="25"/>
  <c r="U14" i="25"/>
  <c r="P14" i="25"/>
  <c r="M14" i="25"/>
  <c r="H14" i="25"/>
  <c r="E14" i="25"/>
  <c r="BL13" i="25"/>
  <c r="BI13" i="25"/>
  <c r="BD13" i="25"/>
  <c r="BA13" i="25"/>
  <c r="AV13" i="25"/>
  <c r="AS13" i="25"/>
  <c r="AN13" i="25"/>
  <c r="AK13" i="25"/>
  <c r="AF13" i="25"/>
  <c r="AC13" i="25"/>
  <c r="X13" i="25"/>
  <c r="U13" i="25"/>
  <c r="P13" i="25"/>
  <c r="M13" i="25"/>
  <c r="H13" i="25"/>
  <c r="E13" i="25"/>
  <c r="BL12" i="25"/>
  <c r="BJ12" i="25"/>
  <c r="BD12" i="25"/>
  <c r="BB12" i="25"/>
  <c r="AV12" i="25"/>
  <c r="AT12" i="25"/>
  <c r="AN12" i="25"/>
  <c r="AL12" i="25"/>
  <c r="AF12" i="25"/>
  <c r="AD12" i="25"/>
  <c r="X12" i="25"/>
  <c r="V12" i="25"/>
  <c r="P12" i="25"/>
  <c r="N12" i="25"/>
  <c r="H12" i="25"/>
  <c r="F12" i="25"/>
  <c r="BL11" i="25"/>
  <c r="BI11" i="25"/>
  <c r="BD11" i="25"/>
  <c r="BA11" i="25"/>
  <c r="AV11" i="25"/>
  <c r="AS11" i="25"/>
  <c r="AN11" i="25"/>
  <c r="AK11" i="25"/>
  <c r="AF11" i="25"/>
  <c r="AC11" i="25"/>
  <c r="X11" i="25"/>
  <c r="U11" i="25"/>
  <c r="P11" i="25"/>
  <c r="M11" i="25"/>
  <c r="H11" i="25"/>
  <c r="E11" i="25"/>
  <c r="BL10" i="25"/>
  <c r="BJ10" i="25"/>
  <c r="BD10" i="25"/>
  <c r="BB10" i="25"/>
  <c r="AV10" i="25"/>
  <c r="AT10" i="25"/>
  <c r="AN10" i="25"/>
  <c r="AL10" i="25"/>
  <c r="AF10" i="25"/>
  <c r="AD10" i="25"/>
  <c r="X10" i="25"/>
  <c r="V10" i="25"/>
  <c r="P10" i="25"/>
  <c r="N10" i="25"/>
  <c r="H10" i="25"/>
  <c r="F10" i="25"/>
  <c r="BL9" i="25"/>
  <c r="BI9" i="25"/>
  <c r="BD9" i="25"/>
  <c r="BA9" i="25"/>
  <c r="AV9" i="25"/>
  <c r="AS9" i="25"/>
  <c r="AN9" i="25"/>
  <c r="AK9" i="25"/>
  <c r="AF9" i="25"/>
  <c r="AC9" i="25"/>
  <c r="X9" i="25"/>
  <c r="U9" i="25"/>
  <c r="P9" i="25"/>
  <c r="M9" i="25"/>
  <c r="H9" i="25"/>
  <c r="E9" i="25"/>
  <c r="BL8" i="25"/>
  <c r="BI8" i="25"/>
  <c r="BD8" i="25"/>
  <c r="BA8" i="25"/>
  <c r="AV8" i="25"/>
  <c r="AS8" i="25"/>
  <c r="AN8" i="25"/>
  <c r="AK8" i="25"/>
  <c r="AF8" i="25"/>
  <c r="AC8" i="25"/>
  <c r="X8" i="25"/>
  <c r="U8" i="25"/>
  <c r="P8" i="25"/>
  <c r="M8" i="25"/>
  <c r="H8" i="25"/>
  <c r="E8" i="25"/>
  <c r="BL7" i="25"/>
  <c r="BI7" i="25"/>
  <c r="BD7" i="25"/>
  <c r="BA7" i="25"/>
  <c r="AV7" i="25"/>
  <c r="AS7" i="25"/>
  <c r="AN7" i="25"/>
  <c r="AK7" i="25"/>
  <c r="AF7" i="25"/>
  <c r="AC7" i="25"/>
  <c r="X7" i="25"/>
  <c r="U7" i="25"/>
  <c r="P7" i="25"/>
  <c r="M7" i="25"/>
  <c r="H7" i="25"/>
  <c r="E7" i="25"/>
  <c r="BL6" i="25"/>
  <c r="BJ6" i="25"/>
  <c r="BD6" i="25"/>
  <c r="BB6" i="25"/>
  <c r="AV6" i="25"/>
  <c r="AT6" i="25"/>
  <c r="AN6" i="25"/>
  <c r="AL6" i="25"/>
  <c r="AF6" i="25"/>
  <c r="AD6" i="25"/>
  <c r="X6" i="25"/>
  <c r="V6" i="25"/>
  <c r="P6" i="25"/>
  <c r="N6" i="25"/>
  <c r="H6" i="25"/>
  <c r="F6" i="25"/>
  <c r="BL3" i="25"/>
  <c r="BI3" i="25"/>
  <c r="BD3" i="25"/>
  <c r="BA3" i="25"/>
  <c r="AV3" i="25"/>
  <c r="AS3" i="25"/>
  <c r="AN3" i="25"/>
  <c r="AK3" i="25"/>
  <c r="AF3" i="25"/>
  <c r="AC3" i="25"/>
  <c r="X3" i="25"/>
  <c r="U3" i="25"/>
  <c r="P3" i="25"/>
  <c r="M3" i="25"/>
  <c r="H3" i="25"/>
  <c r="E3" i="25"/>
  <c r="AI28" i="15"/>
  <c r="AA28" i="15"/>
  <c r="S28" i="15"/>
  <c r="K28" i="15"/>
  <c r="C28" i="15"/>
  <c r="AI26" i="15"/>
  <c r="AA26" i="15"/>
  <c r="S26" i="15"/>
  <c r="K26" i="15"/>
  <c r="C26" i="15"/>
  <c r="AI25" i="15"/>
  <c r="AA25" i="15"/>
  <c r="S25" i="15"/>
  <c r="K25" i="15"/>
  <c r="C25" i="15"/>
  <c r="AI24" i="15"/>
  <c r="AA24" i="15"/>
  <c r="S24" i="15"/>
  <c r="K24" i="15"/>
  <c r="C24" i="15"/>
  <c r="AI23" i="15"/>
  <c r="AA23" i="15"/>
  <c r="S23" i="15"/>
  <c r="K23" i="15"/>
  <c r="C23" i="15"/>
  <c r="AI22" i="15"/>
  <c r="AA22" i="15"/>
  <c r="S22" i="15"/>
  <c r="K22" i="15"/>
  <c r="C22" i="15"/>
  <c r="AI21" i="15"/>
  <c r="AA21" i="15"/>
  <c r="S21" i="15"/>
  <c r="K21" i="15"/>
  <c r="C21" i="15"/>
  <c r="AI20" i="15"/>
  <c r="AA20" i="15"/>
  <c r="S20" i="15"/>
  <c r="K20" i="15"/>
  <c r="C20" i="15"/>
  <c r="AI19" i="15"/>
  <c r="AA19" i="15"/>
  <c r="S19" i="15"/>
  <c r="K19" i="15"/>
  <c r="C19" i="15"/>
  <c r="AI18" i="15"/>
  <c r="AA18" i="15"/>
  <c r="S18" i="15"/>
  <c r="K18" i="15"/>
  <c r="C18" i="15"/>
  <c r="AI17" i="15"/>
  <c r="AA17" i="15"/>
  <c r="S17" i="15"/>
  <c r="K17" i="15"/>
  <c r="C17" i="15"/>
  <c r="AI14" i="15"/>
  <c r="AA14" i="15"/>
  <c r="S14" i="15"/>
  <c r="K14" i="15"/>
  <c r="C14" i="15"/>
  <c r="AI13" i="15"/>
  <c r="AA13" i="15"/>
  <c r="S13" i="15"/>
  <c r="K13" i="15"/>
  <c r="C13" i="15"/>
  <c r="AI12" i="15"/>
  <c r="AA12" i="15"/>
  <c r="S12" i="15"/>
  <c r="K12" i="15"/>
  <c r="C12" i="15"/>
  <c r="AI11" i="15"/>
  <c r="AA11" i="15"/>
  <c r="S11" i="15"/>
  <c r="K11" i="15"/>
  <c r="C11" i="15"/>
  <c r="AI10" i="15"/>
  <c r="AA10" i="15"/>
  <c r="S10" i="15"/>
  <c r="K10" i="15"/>
  <c r="C10" i="15"/>
  <c r="AI9" i="15"/>
  <c r="AA9" i="15"/>
  <c r="S9" i="15"/>
  <c r="K9" i="15"/>
  <c r="C9" i="15"/>
  <c r="AI8" i="15"/>
  <c r="AA8" i="15"/>
  <c r="S8" i="15"/>
  <c r="K8" i="15"/>
  <c r="C8" i="15"/>
  <c r="AI7" i="15"/>
  <c r="AA7" i="15"/>
  <c r="S7" i="15"/>
  <c r="K7" i="15"/>
  <c r="C7" i="15"/>
  <c r="AI6" i="15"/>
  <c r="AA6" i="15"/>
  <c r="S6" i="15"/>
  <c r="K6" i="15"/>
  <c r="C6" i="15"/>
  <c r="M20" i="2"/>
  <c r="K20" i="2"/>
  <c r="G20" i="2"/>
  <c r="F20" i="2"/>
  <c r="E20" i="2"/>
  <c r="N19" i="2"/>
  <c r="N18" i="2"/>
  <c r="N17" i="2"/>
  <c r="N16" i="2"/>
  <c r="N12" i="2"/>
  <c r="P9" i="2"/>
  <c r="U8" i="2"/>
  <c r="U7" i="2"/>
  <c r="P7" i="2"/>
  <c r="U6" i="2"/>
  <c r="P6" i="2"/>
  <c r="U5" i="2"/>
  <c r="P5" i="2"/>
  <c r="J444" i="3"/>
  <c r="I444" i="3"/>
  <c r="H444" i="3"/>
  <c r="J443" i="3"/>
  <c r="I443" i="3"/>
  <c r="H443" i="3"/>
  <c r="J442" i="3"/>
  <c r="I442" i="3"/>
  <c r="H442" i="3"/>
  <c r="J441" i="3"/>
  <c r="I441" i="3"/>
  <c r="H441" i="3"/>
  <c r="J440" i="3"/>
  <c r="I440" i="3"/>
  <c r="H440" i="3"/>
  <c r="J439" i="3"/>
  <c r="I439" i="3"/>
  <c r="H439" i="3"/>
  <c r="J438" i="3"/>
  <c r="I438" i="3"/>
  <c r="H438" i="3"/>
  <c r="J437" i="3"/>
  <c r="I437" i="3"/>
  <c r="H437" i="3"/>
  <c r="J436" i="3"/>
  <c r="I436" i="3"/>
  <c r="H436" i="3"/>
  <c r="J435" i="3"/>
  <c r="I435" i="3"/>
  <c r="H435" i="3"/>
  <c r="J434" i="3"/>
  <c r="I434" i="3"/>
  <c r="H434" i="3"/>
  <c r="J433" i="3"/>
  <c r="I433" i="3"/>
  <c r="H433" i="3"/>
  <c r="J432" i="3"/>
  <c r="I432" i="3"/>
  <c r="H432" i="3"/>
  <c r="J431" i="3"/>
  <c r="I431" i="3"/>
  <c r="H431" i="3"/>
  <c r="J430" i="3"/>
  <c r="I430" i="3"/>
  <c r="H430" i="3"/>
  <c r="J429" i="3"/>
  <c r="I429" i="3"/>
  <c r="H429" i="3"/>
  <c r="J428" i="3"/>
  <c r="I428" i="3"/>
  <c r="H428" i="3"/>
  <c r="J427" i="3"/>
  <c r="I427" i="3"/>
  <c r="H427" i="3"/>
  <c r="J426" i="3"/>
  <c r="I426" i="3"/>
  <c r="H426" i="3"/>
  <c r="J425" i="3"/>
  <c r="I425" i="3"/>
  <c r="H425" i="3"/>
  <c r="J424" i="3"/>
  <c r="I424" i="3"/>
  <c r="H424" i="3"/>
  <c r="J423" i="3"/>
  <c r="I423" i="3"/>
  <c r="H423" i="3"/>
  <c r="J422" i="3"/>
  <c r="I422" i="3"/>
  <c r="H422" i="3"/>
  <c r="J421" i="3"/>
  <c r="I421" i="3"/>
  <c r="H421" i="3"/>
  <c r="J420" i="3"/>
  <c r="I420" i="3"/>
  <c r="H420" i="3"/>
  <c r="J419" i="3"/>
  <c r="I419" i="3"/>
  <c r="H419" i="3"/>
  <c r="J418" i="3"/>
  <c r="I418" i="3"/>
  <c r="H418" i="3"/>
  <c r="J417" i="3"/>
  <c r="I417" i="3"/>
  <c r="H417" i="3"/>
  <c r="J416" i="3"/>
  <c r="I416" i="3"/>
  <c r="H416" i="3"/>
  <c r="J415" i="3"/>
  <c r="I415" i="3"/>
  <c r="H415" i="3"/>
  <c r="J414" i="3"/>
  <c r="I414" i="3"/>
  <c r="H414" i="3"/>
  <c r="J413" i="3"/>
  <c r="I413" i="3"/>
  <c r="H413" i="3"/>
  <c r="J412" i="3"/>
  <c r="I412" i="3"/>
  <c r="H412" i="3"/>
  <c r="J411" i="3"/>
  <c r="I411" i="3"/>
  <c r="H411" i="3"/>
  <c r="J410" i="3"/>
  <c r="I410" i="3"/>
  <c r="H410" i="3"/>
  <c r="J409" i="3"/>
  <c r="I409" i="3"/>
  <c r="H409" i="3"/>
  <c r="J408" i="3"/>
  <c r="I408" i="3"/>
  <c r="H408" i="3"/>
  <c r="J407" i="3"/>
  <c r="I407" i="3"/>
  <c r="H407" i="3"/>
  <c r="J406" i="3"/>
  <c r="I406" i="3"/>
  <c r="H406" i="3"/>
  <c r="J405" i="3"/>
  <c r="I405" i="3"/>
  <c r="H405" i="3"/>
  <c r="J404" i="3"/>
  <c r="I404" i="3"/>
  <c r="H404" i="3"/>
  <c r="J403" i="3"/>
  <c r="I403" i="3"/>
  <c r="H403" i="3"/>
  <c r="J402" i="3"/>
  <c r="I402" i="3"/>
  <c r="H402" i="3"/>
  <c r="J401" i="3"/>
  <c r="I401" i="3"/>
  <c r="H401" i="3"/>
  <c r="J400" i="3"/>
  <c r="I400" i="3"/>
  <c r="H400" i="3"/>
  <c r="J399" i="3"/>
  <c r="I399" i="3"/>
  <c r="H399" i="3"/>
  <c r="J398" i="3"/>
  <c r="I398" i="3"/>
  <c r="H398" i="3"/>
  <c r="J397" i="3"/>
  <c r="I397" i="3"/>
  <c r="H397" i="3"/>
  <c r="J396" i="3"/>
  <c r="I396" i="3"/>
  <c r="H396" i="3"/>
  <c r="J395" i="3"/>
  <c r="I395" i="3"/>
  <c r="H395" i="3"/>
  <c r="J394" i="3"/>
  <c r="I394" i="3"/>
  <c r="H394" i="3"/>
  <c r="J393" i="3"/>
  <c r="I393" i="3"/>
  <c r="H393" i="3"/>
  <c r="J392" i="3"/>
  <c r="I392" i="3"/>
  <c r="H392" i="3"/>
  <c r="J391" i="3"/>
  <c r="I391" i="3"/>
  <c r="H391" i="3"/>
  <c r="J390" i="3"/>
  <c r="I390" i="3"/>
  <c r="H390" i="3"/>
  <c r="J389" i="3"/>
  <c r="I389" i="3"/>
  <c r="H389" i="3"/>
  <c r="J388" i="3"/>
  <c r="I388" i="3"/>
  <c r="H388" i="3"/>
  <c r="J387" i="3"/>
  <c r="I387" i="3"/>
  <c r="H387" i="3"/>
  <c r="J386" i="3"/>
  <c r="I386" i="3"/>
  <c r="H386" i="3"/>
  <c r="J385" i="3"/>
  <c r="I385" i="3"/>
  <c r="H385" i="3"/>
  <c r="J384" i="3"/>
  <c r="I384" i="3"/>
  <c r="H384" i="3"/>
  <c r="J383" i="3"/>
  <c r="I383" i="3"/>
  <c r="H383" i="3"/>
  <c r="J382" i="3"/>
  <c r="I382" i="3"/>
  <c r="H382" i="3"/>
  <c r="J381" i="3"/>
  <c r="I381" i="3"/>
  <c r="H381" i="3"/>
  <c r="J380" i="3"/>
  <c r="I380" i="3"/>
  <c r="H380" i="3"/>
  <c r="J379" i="3"/>
  <c r="I379" i="3"/>
  <c r="H379" i="3"/>
  <c r="J378" i="3"/>
  <c r="I378" i="3"/>
  <c r="H378" i="3"/>
  <c r="J377" i="3"/>
  <c r="I377" i="3"/>
  <c r="H377" i="3"/>
  <c r="J376" i="3"/>
  <c r="I376" i="3"/>
  <c r="H376" i="3"/>
  <c r="J375" i="3"/>
  <c r="I375" i="3"/>
  <c r="H375" i="3"/>
  <c r="J374" i="3"/>
  <c r="I374" i="3"/>
  <c r="H374" i="3"/>
  <c r="J373" i="3"/>
  <c r="I373" i="3"/>
  <c r="H373" i="3"/>
  <c r="J372" i="3"/>
  <c r="I372" i="3"/>
  <c r="H372" i="3"/>
  <c r="J371" i="3"/>
  <c r="I371" i="3"/>
  <c r="H371" i="3"/>
  <c r="J370" i="3"/>
  <c r="I370" i="3"/>
  <c r="H370" i="3"/>
  <c r="J369" i="3"/>
  <c r="I369" i="3"/>
  <c r="H369" i="3"/>
  <c r="N31" i="3"/>
  <c r="N30" i="3"/>
  <c r="N29" i="3"/>
  <c r="N28" i="3"/>
  <c r="N27" i="3"/>
  <c r="N26" i="3"/>
  <c r="N25" i="3"/>
  <c r="N24" i="3"/>
  <c r="N23" i="3"/>
  <c r="N22" i="3"/>
  <c r="O3" i="3"/>
  <c r="O13" i="3" s="1"/>
  <c r="K7" i="3"/>
  <c r="J7" i="3"/>
  <c r="I7" i="3"/>
  <c r="H7" i="3"/>
  <c r="K6" i="3"/>
  <c r="J6" i="3"/>
  <c r="I6" i="3"/>
  <c r="H6" i="3"/>
  <c r="K5" i="3"/>
  <c r="J5" i="3"/>
  <c r="I5" i="3"/>
  <c r="H5" i="3"/>
  <c r="K4" i="3"/>
  <c r="J4" i="3"/>
  <c r="I4" i="3"/>
  <c r="H4" i="3"/>
  <c r="L10" i="1"/>
  <c r="L7" i="1"/>
  <c r="D76" i="9"/>
  <c r="C79" i="9"/>
  <c r="D77" i="9"/>
  <c r="F10" i="21"/>
  <c r="D80" i="9"/>
  <c r="C80" i="9"/>
  <c r="F41" i="21"/>
  <c r="B85" i="9"/>
  <c r="E11" i="21"/>
  <c r="C81" i="9"/>
  <c r="D85" i="9"/>
  <c r="E19" i="21"/>
  <c r="C76" i="9"/>
  <c r="F43" i="21"/>
  <c r="B88" i="9"/>
  <c r="D10" i="21"/>
  <c r="C83" i="9"/>
  <c r="F1" i="21"/>
  <c r="D83" i="9"/>
  <c r="E20" i="21"/>
  <c r="B83" i="9"/>
  <c r="D31" i="21"/>
  <c r="C84" i="9"/>
  <c r="E36" i="21"/>
  <c r="C82" i="9"/>
  <c r="F2" i="21"/>
  <c r="E43" i="21"/>
  <c r="D3" i="21"/>
  <c r="B87" i="9"/>
  <c r="E34" i="21"/>
  <c r="D81" i="9"/>
  <c r="D32" i="21"/>
  <c r="D34" i="21"/>
  <c r="D1" i="21"/>
  <c r="B78" i="9"/>
  <c r="F11" i="21"/>
  <c r="C88" i="9"/>
  <c r="E2" i="21"/>
  <c r="D2" i="21"/>
  <c r="E41" i="21"/>
  <c r="C78" i="9"/>
  <c r="D41" i="21"/>
  <c r="D12" i="21"/>
  <c r="F19" i="21"/>
  <c r="B81" i="9"/>
  <c r="D19" i="21"/>
  <c r="B77" i="9"/>
  <c r="F12" i="21"/>
  <c r="F3" i="21"/>
  <c r="C77" i="9"/>
  <c r="B84" i="9"/>
  <c r="E1" i="21"/>
  <c r="E3" i="21"/>
  <c r="E33" i="21"/>
  <c r="B80" i="9"/>
  <c r="C87" i="9"/>
  <c r="D82" i="9"/>
  <c r="D20" i="21"/>
  <c r="E32" i="21"/>
  <c r="D11" i="21"/>
  <c r="D79" i="9"/>
  <c r="B86" i="9"/>
  <c r="D86" i="9"/>
  <c r="D43" i="21"/>
  <c r="E10" i="21"/>
  <c r="D87" i="9"/>
  <c r="B79" i="9"/>
  <c r="E12" i="21"/>
  <c r="E31" i="21"/>
  <c r="D36" i="21"/>
  <c r="D84" i="9"/>
  <c r="C85" i="9"/>
  <c r="D78" i="9"/>
  <c r="B76" i="9"/>
  <c r="D88" i="9"/>
  <c r="C86" i="9"/>
  <c r="D33" i="21"/>
  <c r="B82" i="9"/>
  <c r="AU38" i="14" l="1"/>
  <c r="AU24" i="14"/>
  <c r="AU44" i="14"/>
  <c r="AU37" i="14"/>
  <c r="AU30" i="14"/>
  <c r="AU23" i="14"/>
  <c r="C25" i="17"/>
  <c r="HC8" i="17" s="1"/>
  <c r="B11" i="9"/>
  <c r="O3" i="18"/>
  <c r="B14" i="9"/>
  <c r="AU51" i="14"/>
  <c r="AZ43" i="17"/>
  <c r="B152" i="9"/>
  <c r="B151" i="9" s="1"/>
  <c r="Z3" i="18"/>
  <c r="AV14" i="17"/>
  <c r="AT49" i="17"/>
  <c r="AH3" i="18" s="1"/>
  <c r="AU49" i="17"/>
  <c r="AI3" i="18" s="1"/>
  <c r="DL31" i="17"/>
  <c r="BD30" i="17"/>
  <c r="DH3" i="18" s="1"/>
  <c r="EG3" i="18"/>
  <c r="BD32" i="17"/>
  <c r="DJ3" i="18" s="1"/>
  <c r="EI3" i="18"/>
  <c r="BD36" i="17"/>
  <c r="DM3" i="18" s="1"/>
  <c r="EL3" i="18"/>
  <c r="BD26" i="17"/>
  <c r="DG3" i="18" s="1"/>
  <c r="EF3" i="18"/>
  <c r="BC38" i="17"/>
  <c r="EK3" i="18"/>
  <c r="BD46" i="17"/>
  <c r="DQ3" i="18" s="1"/>
  <c r="EO3" i="18"/>
  <c r="F35" i="25"/>
  <c r="BJ35" i="25"/>
  <c r="V35" i="25"/>
  <c r="AD35" i="25"/>
  <c r="AL35" i="25"/>
  <c r="AT35" i="25"/>
  <c r="AR54" i="14"/>
  <c r="AR59" i="14"/>
  <c r="BQ11" i="17"/>
  <c r="AQ43" i="17"/>
  <c r="AR52" i="14"/>
  <c r="AR55" i="14"/>
  <c r="AR56" i="14"/>
  <c r="AR57" i="14"/>
  <c r="AR60" i="14"/>
  <c r="AO63" i="14"/>
  <c r="AR53" i="14"/>
  <c r="AR62" i="14"/>
  <c r="AQ63" i="14"/>
  <c r="I19" i="2"/>
  <c r="H19" i="2" s="1"/>
  <c r="E101" i="9" s="1"/>
  <c r="B71" i="9"/>
  <c r="BR11" i="17"/>
  <c r="AN63" i="14"/>
  <c r="B107" i="9"/>
  <c r="CM17" i="17"/>
  <c r="C26" i="4"/>
  <c r="B67" i="9"/>
  <c r="B143" i="9"/>
  <c r="DL21" i="17"/>
  <c r="BU3" i="18" s="1"/>
  <c r="GY3" i="18" s="1"/>
  <c r="C28" i="4"/>
  <c r="DD11" i="17" s="1"/>
  <c r="C21" i="4"/>
  <c r="B92" i="9"/>
  <c r="B144" i="9"/>
  <c r="D1" i="19"/>
  <c r="D15" i="19"/>
  <c r="E25" i="19"/>
  <c r="D27" i="19"/>
  <c r="C23" i="6"/>
  <c r="AM71" i="14" s="1"/>
  <c r="C2" i="6"/>
  <c r="AM67" i="14" s="1"/>
  <c r="C17" i="6"/>
  <c r="AM69" i="14" s="1"/>
  <c r="B174" i="9"/>
  <c r="B185" i="9"/>
  <c r="J38" i="16"/>
  <c r="EJ12" i="17"/>
  <c r="C6" i="6"/>
  <c r="B169" i="9"/>
  <c r="B166" i="9" s="1"/>
  <c r="EJ15" i="17"/>
  <c r="N33" i="25"/>
  <c r="AD33" i="25"/>
  <c r="V33" i="25"/>
  <c r="BB33" i="25"/>
  <c r="AT33" i="25"/>
  <c r="BJ33" i="25"/>
  <c r="F33" i="25"/>
  <c r="F37" i="25" s="1"/>
  <c r="AL33" i="25"/>
  <c r="I16" i="2"/>
  <c r="AN41" i="17" s="1"/>
  <c r="I18" i="2"/>
  <c r="H18" i="2" s="1"/>
  <c r="BB46" i="17"/>
  <c r="AQ41" i="17"/>
  <c r="U12" i="2"/>
  <c r="AM25" i="17" s="1"/>
  <c r="H12" i="2"/>
  <c r="AU25" i="17" s="1"/>
  <c r="AO41" i="17"/>
  <c r="J20" i="2"/>
  <c r="L20" i="2"/>
  <c r="AQ49" i="17" s="1"/>
  <c r="AQ45" i="17"/>
  <c r="BQ18" i="17"/>
  <c r="AM61" i="14"/>
  <c r="AP61" i="14"/>
  <c r="AP63" i="14" s="1"/>
  <c r="BR32" i="17"/>
  <c r="I17" i="2"/>
  <c r="AO45" i="17"/>
  <c r="AQ47" i="17"/>
  <c r="AR25" i="17"/>
  <c r="BR46" i="17"/>
  <c r="C26" i="6"/>
  <c r="AM72" i="14" s="1"/>
  <c r="B165" i="9"/>
  <c r="B163" i="9" s="1"/>
  <c r="B179" i="9"/>
  <c r="B190" i="9"/>
  <c r="C20" i="6"/>
  <c r="AM68" i="14"/>
  <c r="EJ18" i="17"/>
  <c r="BR20" i="17"/>
  <c r="AP3" i="18"/>
  <c r="BS34" i="17"/>
  <c r="BR24" i="17"/>
  <c r="BQ38" i="17"/>
  <c r="BS10" i="17"/>
  <c r="BS27" i="17"/>
  <c r="BS41" i="17"/>
  <c r="BS20" i="17"/>
  <c r="BQ34" i="17"/>
  <c r="BQ41" i="17"/>
  <c r="BR48" i="17"/>
  <c r="BQ48" i="17"/>
  <c r="EJ16" i="17"/>
  <c r="CG3" i="18" s="1"/>
  <c r="BS48" i="17"/>
  <c r="BR19" i="17"/>
  <c r="BQ13" i="17"/>
  <c r="DD15" i="17"/>
  <c r="AX41" i="14" s="1"/>
  <c r="HC34" i="17"/>
  <c r="AE3" i="18"/>
  <c r="BB40" i="17"/>
  <c r="BR33" i="17"/>
  <c r="BC30" i="17"/>
  <c r="DS3" i="18" s="1"/>
  <c r="BQ33" i="17"/>
  <c r="BC40" i="17"/>
  <c r="BS19" i="17"/>
  <c r="EZ45" i="17"/>
  <c r="EJ5" i="17"/>
  <c r="CE3" i="18" s="1"/>
  <c r="AN3" i="18"/>
  <c r="BB30" i="17"/>
  <c r="EQ3" i="18" s="1"/>
  <c r="BR25" i="17"/>
  <c r="BR39" i="17"/>
  <c r="BT30" i="17"/>
  <c r="BP16" i="17"/>
  <c r="BU16" i="17" s="1"/>
  <c r="BR10" i="17"/>
  <c r="BR18" i="17"/>
  <c r="BS25" i="17"/>
  <c r="BS46" i="17"/>
  <c r="BT44" i="17"/>
  <c r="BC10" i="17"/>
  <c r="EJ26" i="17"/>
  <c r="CJ3" i="18" s="1"/>
  <c r="BB26" i="17"/>
  <c r="EP3" i="18" s="1"/>
  <c r="BC26" i="17"/>
  <c r="DR3" i="18" s="1"/>
  <c r="BS13" i="17"/>
  <c r="BQ24" i="17"/>
  <c r="BS32" i="17"/>
  <c r="BQ39" i="17"/>
  <c r="BS47" i="17"/>
  <c r="BT9" i="17"/>
  <c r="BT16" i="17"/>
  <c r="BQ47" i="17"/>
  <c r="BR47" i="17" s="1"/>
  <c r="BP9" i="17"/>
  <c r="BS9" i="17" s="1"/>
  <c r="BP30" i="17"/>
  <c r="BU30" i="17" s="1"/>
  <c r="AU16" i="17"/>
  <c r="BD40" i="17"/>
  <c r="DN3" i="18" s="1"/>
  <c r="BR17" i="17"/>
  <c r="BS17" i="17"/>
  <c r="BR27" i="17"/>
  <c r="BR31" i="17"/>
  <c r="BS38" i="17"/>
  <c r="BT37" i="17"/>
  <c r="BQ46" i="17"/>
  <c r="BC12" i="17"/>
  <c r="BP23" i="17"/>
  <c r="BP44" i="17"/>
  <c r="CQ3" i="18"/>
  <c r="FI50" i="17"/>
  <c r="FQ19" i="17" s="1"/>
  <c r="J24" i="16"/>
  <c r="EU35" i="17"/>
  <c r="DD19" i="17"/>
  <c r="BB34" i="17"/>
  <c r="BC34" i="17"/>
  <c r="BT23" i="17"/>
  <c r="BD12" i="17"/>
  <c r="DD6" i="17"/>
  <c r="BI3" i="18" s="1"/>
  <c r="GM3" i="18" s="1"/>
  <c r="BP37" i="17"/>
  <c r="BQ37" i="17" s="1"/>
  <c r="B9" i="19"/>
  <c r="B10" i="19"/>
  <c r="B25" i="19"/>
  <c r="B28" i="19"/>
  <c r="B30" i="19"/>
  <c r="B7" i="19"/>
  <c r="B8" i="19"/>
  <c r="J11" i="16"/>
  <c r="A3" i="19"/>
  <c r="B23" i="19"/>
  <c r="A11" i="19"/>
  <c r="AU32" i="14"/>
  <c r="B14" i="19"/>
  <c r="B21" i="19"/>
  <c r="B3" i="19"/>
  <c r="B24" i="19"/>
  <c r="B6" i="19"/>
  <c r="B15" i="19"/>
  <c r="B16" i="19"/>
  <c r="A23" i="19"/>
  <c r="B26" i="19"/>
  <c r="B27" i="19"/>
  <c r="A5" i="19"/>
  <c r="A20" i="19"/>
  <c r="B1" i="19"/>
  <c r="B2" i="19"/>
  <c r="B5" i="19"/>
  <c r="B11" i="19"/>
  <c r="B13" i="19"/>
  <c r="B20" i="19"/>
  <c r="B22" i="19"/>
  <c r="B31" i="19"/>
  <c r="B1" i="20"/>
  <c r="A17" i="19"/>
  <c r="A18" i="19"/>
  <c r="B4" i="19"/>
  <c r="A7" i="19"/>
  <c r="B12" i="19"/>
  <c r="A13" i="19"/>
  <c r="A15" i="19"/>
  <c r="B17" i="19"/>
  <c r="B18" i="19"/>
  <c r="B19" i="19"/>
  <c r="A24" i="19"/>
  <c r="B29" i="19"/>
  <c r="AU31" i="14"/>
  <c r="F26" i="7"/>
  <c r="C40" i="6" s="1"/>
  <c r="EJ46" i="17" s="1"/>
  <c r="CN3" i="18" s="1"/>
  <c r="AU39" i="14"/>
  <c r="A2" i="19"/>
  <c r="A4" i="19"/>
  <c r="A6" i="19"/>
  <c r="A8" i="19"/>
  <c r="A9" i="19"/>
  <c r="A16" i="19"/>
  <c r="A19" i="19"/>
  <c r="A22" i="19"/>
  <c r="A27" i="19"/>
  <c r="A28" i="19"/>
  <c r="A29" i="19"/>
  <c r="A10" i="19"/>
  <c r="A12" i="19"/>
  <c r="A14" i="19"/>
  <c r="AU45" i="14"/>
  <c r="N26" i="7"/>
  <c r="C41" i="6" s="1"/>
  <c r="B180" i="9" s="1"/>
  <c r="B4" i="20"/>
  <c r="B5" i="20"/>
  <c r="B6" i="20"/>
  <c r="B7" i="20"/>
  <c r="B8" i="20"/>
  <c r="A1" i="19"/>
  <c r="A8" i="20" s="1"/>
  <c r="AU25" i="14"/>
  <c r="AX31" i="14"/>
  <c r="AX30" i="14" s="1"/>
  <c r="AU40" i="14"/>
  <c r="AU33" i="14"/>
  <c r="B2" i="20"/>
  <c r="B3" i="20"/>
  <c r="AU26" i="14"/>
  <c r="J17" i="16"/>
  <c r="CS3" i="18"/>
  <c r="EJ22" i="17"/>
  <c r="CI3" i="18" s="1"/>
  <c r="DD31" i="17"/>
  <c r="AV41" i="17"/>
  <c r="BB28" i="17"/>
  <c r="ER3" i="18" s="1"/>
  <c r="BB36" i="17"/>
  <c r="BC28" i="17"/>
  <c r="DT3" i="18" s="1"/>
  <c r="BC36" i="17"/>
  <c r="BD34" i="17"/>
  <c r="DK3" i="18" s="1"/>
  <c r="BD38" i="17"/>
  <c r="DL3" i="18" s="1"/>
  <c r="BQ26" i="17"/>
  <c r="BR26" i="17"/>
  <c r="BS26" i="17"/>
  <c r="BS31" i="17"/>
  <c r="BQ40" i="17"/>
  <c r="BR40" i="17"/>
  <c r="BS40" i="17"/>
  <c r="BQ12" i="17"/>
  <c r="BD10" i="17"/>
  <c r="BC16" i="17"/>
  <c r="BD16" i="17"/>
  <c r="AV45" i="17"/>
  <c r="AX33" i="14"/>
  <c r="AX32" i="14" s="1"/>
  <c r="AK3" i="18"/>
  <c r="BB38" i="17"/>
  <c r="BC32" i="17"/>
  <c r="DV3" i="18" s="1"/>
  <c r="BR12" i="17"/>
  <c r="BS12" i="17"/>
  <c r="BC14" i="17"/>
  <c r="BC18" i="17"/>
  <c r="AV43" i="17"/>
  <c r="BB32" i="17"/>
  <c r="ES3" i="18" s="1"/>
  <c r="BD28" i="17"/>
  <c r="DI3" i="18" s="1"/>
  <c r="BR45" i="17"/>
  <c r="BS45" i="17"/>
  <c r="BD14" i="17"/>
  <c r="BD18" i="17"/>
  <c r="AV47" i="17"/>
  <c r="H3" i="2"/>
  <c r="AL7" i="17"/>
  <c r="A21" i="19"/>
  <c r="A25" i="19"/>
  <c r="A26" i="19"/>
  <c r="A30" i="19"/>
  <c r="D4" i="13"/>
  <c r="B65" i="9"/>
  <c r="DL18" i="17"/>
  <c r="DL15" i="17" s="1"/>
  <c r="BT3" i="18" s="1"/>
  <c r="GX3" i="18" s="1"/>
  <c r="B68" i="9"/>
  <c r="AX12" i="14"/>
  <c r="AX9" i="14" s="1"/>
  <c r="U3" i="2"/>
  <c r="B91" i="9"/>
  <c r="B149" i="9"/>
  <c r="B61" i="9"/>
  <c r="DL9" i="17"/>
  <c r="C91" i="9"/>
  <c r="DL14" i="17"/>
  <c r="BY3" i="18"/>
  <c r="HC3" i="18" s="1"/>
  <c r="B53" i="9"/>
  <c r="B147" i="9"/>
  <c r="DL13" i="17"/>
  <c r="AX8" i="14" s="1"/>
  <c r="E14" i="19"/>
  <c r="D14" i="19" s="1"/>
  <c r="CJ17" i="17"/>
  <c r="B142" i="9"/>
  <c r="B140" i="9" s="1"/>
  <c r="DL23" i="17"/>
  <c r="BV3" i="18" s="1"/>
  <c r="GZ3" i="18" s="1"/>
  <c r="CJ14" i="17"/>
  <c r="H3" i="13"/>
  <c r="B45" i="9"/>
  <c r="C7" i="4"/>
  <c r="C6" i="4" s="1"/>
  <c r="B135" i="9" s="1"/>
  <c r="B134" i="9" s="1"/>
  <c r="I11" i="13"/>
  <c r="H6" i="13"/>
  <c r="L5" i="13" s="1"/>
  <c r="HC20" i="17" s="1"/>
  <c r="B60" i="9"/>
  <c r="CJ20" i="17"/>
  <c r="AX14" i="14"/>
  <c r="B46" i="9"/>
  <c r="DL11" i="17"/>
  <c r="E1" i="19"/>
  <c r="D9" i="19"/>
  <c r="BQ23" i="17" l="1"/>
  <c r="AO3" i="18"/>
  <c r="AN47" i="17"/>
  <c r="L5" i="23"/>
  <c r="B102" i="9"/>
  <c r="L4" i="23"/>
  <c r="AM47" i="17"/>
  <c r="BJ3" i="18"/>
  <c r="GN3" i="18" s="1"/>
  <c r="AX15" i="14"/>
  <c r="B73" i="9"/>
  <c r="AX7" i="14"/>
  <c r="AX6" i="14" s="1"/>
  <c r="J18" i="16"/>
  <c r="J16" i="16"/>
  <c r="EN3" i="18"/>
  <c r="AN45" i="17"/>
  <c r="AO49" i="17"/>
  <c r="AM3" i="18" s="1"/>
  <c r="G2" i="20"/>
  <c r="I2" i="20" s="1"/>
  <c r="J2" i="20" s="1"/>
  <c r="I20" i="2"/>
  <c r="AN49" i="17" s="1"/>
  <c r="H16" i="2"/>
  <c r="AM41" i="17" s="1"/>
  <c r="C21" i="9"/>
  <c r="AC3" i="18"/>
  <c r="B184" i="9"/>
  <c r="B177" i="9"/>
  <c r="CZ3" i="18"/>
  <c r="EJ10" i="17"/>
  <c r="CF3" i="18" s="1"/>
  <c r="FG13" i="17"/>
  <c r="AD37" i="25"/>
  <c r="FI13" i="17" s="1"/>
  <c r="FG21" i="17"/>
  <c r="BJ37" i="25"/>
  <c r="FI21" i="17" s="1"/>
  <c r="FG15" i="17"/>
  <c r="AL37" i="25"/>
  <c r="FI15" i="17" s="1"/>
  <c r="AT37" i="25"/>
  <c r="FI17" i="17" s="1"/>
  <c r="FG17" i="17"/>
  <c r="V37" i="25"/>
  <c r="FI11" i="17" s="1"/>
  <c r="FG11" i="17"/>
  <c r="BB37" i="25"/>
  <c r="FI19" i="17" s="1"/>
  <c r="FG19" i="17"/>
  <c r="FG7" i="17"/>
  <c r="FI7" i="17"/>
  <c r="N37" i="25"/>
  <c r="FI9" i="17" s="1"/>
  <c r="FG9" i="17"/>
  <c r="AM45" i="17"/>
  <c r="L3" i="23"/>
  <c r="E100" i="9"/>
  <c r="AR61" i="14"/>
  <c r="AR63" i="14" s="1"/>
  <c r="AM63" i="14"/>
  <c r="AN43" i="17"/>
  <c r="H17" i="2"/>
  <c r="EJ20" i="17"/>
  <c r="CH3" i="18" s="1"/>
  <c r="AM70" i="14"/>
  <c r="J40" i="16"/>
  <c r="CX3" i="18"/>
  <c r="BR37" i="17"/>
  <c r="BR30" i="17"/>
  <c r="BS30" i="17"/>
  <c r="BQ30" i="17"/>
  <c r="BQ16" i="17"/>
  <c r="BR16" i="17" s="1"/>
  <c r="BS23" i="17"/>
  <c r="BR23" i="17"/>
  <c r="BS16" i="17"/>
  <c r="BU37" i="17"/>
  <c r="BU9" i="17"/>
  <c r="BS37" i="17"/>
  <c r="BM3" i="18"/>
  <c r="GQ3" i="18" s="1"/>
  <c r="BU44" i="17"/>
  <c r="BQ44" i="17"/>
  <c r="BR44" i="17" s="1"/>
  <c r="BS44" i="17"/>
  <c r="DO3" i="18" s="1"/>
  <c r="BQ9" i="17"/>
  <c r="BU23" i="17"/>
  <c r="BR9" i="17"/>
  <c r="B176" i="9"/>
  <c r="EJ47" i="17"/>
  <c r="A1" i="20"/>
  <c r="A7" i="20"/>
  <c r="A9" i="20"/>
  <c r="A4" i="20"/>
  <c r="A5" i="20"/>
  <c r="A2" i="20"/>
  <c r="A3" i="20"/>
  <c r="A6" i="20"/>
  <c r="AX43" i="14"/>
  <c r="BN3" i="18"/>
  <c r="GR3" i="18" s="1"/>
  <c r="AM43" i="14"/>
  <c r="HC35" i="17"/>
  <c r="I3" i="2"/>
  <c r="AM7" i="17"/>
  <c r="AX16" i="14"/>
  <c r="H4" i="13"/>
  <c r="B52" i="9"/>
  <c r="AD3" i="18"/>
  <c r="C2" i="4"/>
  <c r="DL8" i="17"/>
  <c r="DL6" i="17" s="1"/>
  <c r="BS3" i="18" s="1"/>
  <c r="GW3" i="18" s="1"/>
  <c r="I9" i="13"/>
  <c r="CM20" i="17"/>
  <c r="AV3" i="18"/>
  <c r="CM11" i="17"/>
  <c r="EJ44" i="17" l="1"/>
  <c r="FU42" i="17" s="1"/>
  <c r="CO3" i="18"/>
  <c r="B130" i="9"/>
  <c r="H20" i="2"/>
  <c r="AM49" i="17" s="1"/>
  <c r="CJ32" i="17"/>
  <c r="CL32" i="17" s="1"/>
  <c r="E98" i="9"/>
  <c r="L1" i="23"/>
  <c r="AY12" i="14"/>
  <c r="F17" i="26" s="1"/>
  <c r="FD3" i="18" s="1"/>
  <c r="DU3" i="18"/>
  <c r="CJ30" i="17"/>
  <c r="CL30" i="17" s="1"/>
  <c r="CL34" i="17" s="1"/>
  <c r="AY3" i="18" s="1"/>
  <c r="HC23" i="17"/>
  <c r="M34" i="17" s="1"/>
  <c r="ET3" i="18"/>
  <c r="AY39" i="14"/>
  <c r="F50" i="26" s="1"/>
  <c r="GC3" i="18" s="1"/>
  <c r="AY31" i="14"/>
  <c r="F49" i="26" s="1"/>
  <c r="GB3" i="18" s="1"/>
  <c r="B170" i="9"/>
  <c r="B161" i="9" s="1"/>
  <c r="B162" i="9"/>
  <c r="AS3" i="18"/>
  <c r="HC18" i="17"/>
  <c r="FQ9" i="17"/>
  <c r="HC30" i="17" s="1"/>
  <c r="E99" i="9"/>
  <c r="AM43" i="17"/>
  <c r="L2" i="23"/>
  <c r="AX13" i="14"/>
  <c r="AY13" i="14" s="1"/>
  <c r="AM81" i="14" s="1"/>
  <c r="AN7" i="17"/>
  <c r="J3" i="2"/>
  <c r="L4" i="13"/>
  <c r="CM14" i="17"/>
  <c r="AY20" i="14" l="1"/>
  <c r="F27" i="26" s="1"/>
  <c r="FK3" i="18" s="1"/>
  <c r="AY10" i="14"/>
  <c r="F15" i="26" s="1"/>
  <c r="HC15" i="17"/>
  <c r="M28" i="17" s="1"/>
  <c r="CJ34" i="17"/>
  <c r="CN30" i="17"/>
  <c r="CN34" i="17" s="1"/>
  <c r="AZ3" i="18" s="1"/>
  <c r="J25" i="16"/>
  <c r="AY32" i="14"/>
  <c r="AM87" i="14" s="1"/>
  <c r="AY8" i="14"/>
  <c r="F12" i="26" s="1"/>
  <c r="EZ3" i="18" s="1"/>
  <c r="AY43" i="14"/>
  <c r="AN90" i="14" s="1"/>
  <c r="AY33" i="14"/>
  <c r="F37" i="26" s="1"/>
  <c r="AY30" i="14"/>
  <c r="AM86" i="14" s="1"/>
  <c r="AY9" i="14"/>
  <c r="AM80" i="14" s="1"/>
  <c r="AX3" i="18"/>
  <c r="AY14" i="14"/>
  <c r="F21" i="26" s="1"/>
  <c r="FF3" i="18" s="1"/>
  <c r="E36" i="4"/>
  <c r="C36" i="4" s="1"/>
  <c r="C35" i="4" s="1"/>
  <c r="C53" i="4" s="1"/>
  <c r="AY11" i="14"/>
  <c r="F16" i="26" s="1"/>
  <c r="FC3" i="18" s="1"/>
  <c r="AY16" i="14"/>
  <c r="F22" i="26" s="1"/>
  <c r="FG3" i="18" s="1"/>
  <c r="AY34" i="14"/>
  <c r="F38" i="26" s="1"/>
  <c r="FT3" i="18" s="1"/>
  <c r="AY15" i="14"/>
  <c r="F20" i="26" s="1"/>
  <c r="AY35" i="14"/>
  <c r="F39" i="26" s="1"/>
  <c r="FU3" i="18" s="1"/>
  <c r="GI3" i="18"/>
  <c r="GJ3" i="18" s="1"/>
  <c r="CN32" i="17"/>
  <c r="AW3" i="18"/>
  <c r="F47" i="26"/>
  <c r="AY6" i="14"/>
  <c r="AM79" i="14" s="1"/>
  <c r="AY7" i="14"/>
  <c r="F11" i="26" s="1"/>
  <c r="EY3" i="18" s="1"/>
  <c r="FS3" i="18"/>
  <c r="FB3" i="18"/>
  <c r="AM42" i="14"/>
  <c r="J33" i="16"/>
  <c r="CC3" i="18"/>
  <c r="J37" i="16"/>
  <c r="HC33" i="17"/>
  <c r="AN46" i="14"/>
  <c r="K3" i="2"/>
  <c r="AO7" i="17"/>
  <c r="DL29" i="17" l="1"/>
  <c r="DL40" i="17" s="1"/>
  <c r="AN22" i="14" s="1"/>
  <c r="B148" i="9"/>
  <c r="B133" i="9" s="1"/>
  <c r="F35" i="26"/>
  <c r="FR3" i="18" s="1"/>
  <c r="N13" i="26"/>
  <c r="GG3" i="18" s="1"/>
  <c r="F13" i="26"/>
  <c r="FA3" i="18" s="1"/>
  <c r="F18" i="26"/>
  <c r="FE3" i="18" s="1"/>
  <c r="F9" i="26"/>
  <c r="EX3" i="18" s="1"/>
  <c r="L3" i="2"/>
  <c r="AP7" i="17"/>
  <c r="BZ3" i="18" l="1"/>
  <c r="HD3" i="18" s="1"/>
  <c r="B132" i="9"/>
  <c r="M3" i="2"/>
  <c r="AQ7" i="17"/>
  <c r="AR7" i="17" l="1"/>
  <c r="N3" i="2"/>
  <c r="P3" i="2"/>
  <c r="O3" i="2" l="1"/>
  <c r="AS7" i="17"/>
  <c r="I6" i="13"/>
  <c r="I3" i="13"/>
  <c r="CJ38" i="17"/>
  <c r="I4" i="13"/>
  <c r="CO14" i="17" s="1"/>
  <c r="AR3" i="18" s="1"/>
  <c r="J13" i="16"/>
  <c r="HC16" i="17"/>
  <c r="M30" i="17" s="1"/>
  <c r="CJ36" i="17"/>
  <c r="BB3" i="18" s="1"/>
  <c r="AU11" i="14"/>
  <c r="HC11" i="17"/>
  <c r="AB3" i="18" s="1"/>
  <c r="HC10" i="17"/>
  <c r="HC12" i="17"/>
  <c r="I5" i="13"/>
  <c r="AU7" i="17"/>
  <c r="B23" i="9"/>
  <c r="HC13" i="17"/>
  <c r="M24" i="17" s="1"/>
  <c r="HC26" i="17"/>
  <c r="M44" i="17" s="1"/>
  <c r="AU28" i="14" l="1"/>
  <c r="AU27" i="14"/>
  <c r="AU22" i="14" s="1"/>
  <c r="CL38" i="17"/>
  <c r="CN38" i="17" s="1"/>
  <c r="BA3" i="18"/>
  <c r="AS49" i="17"/>
  <c r="AG3" i="18" s="1"/>
  <c r="AA3" i="18"/>
  <c r="CJ44" i="17"/>
  <c r="CL44" i="17" s="1"/>
  <c r="CN44" i="17" s="1"/>
  <c r="CO20" i="17"/>
  <c r="AU3" i="18" s="1"/>
  <c r="CJ42" i="17"/>
  <c r="CL42" i="17" s="1"/>
  <c r="HC19" i="17"/>
  <c r="M40" i="17" s="1"/>
  <c r="CO17" i="17"/>
  <c r="AU49" i="14"/>
  <c r="AU48" i="14"/>
  <c r="AU34" i="14"/>
  <c r="AU41" i="14"/>
  <c r="AU35" i="14"/>
  <c r="AU42" i="14"/>
  <c r="CJ46" i="17"/>
  <c r="CL46" i="17" s="1"/>
  <c r="CN46" i="17" s="1"/>
  <c r="HC17" i="17"/>
  <c r="M38" i="17" s="1"/>
  <c r="CO11" i="17"/>
  <c r="AV49" i="17"/>
  <c r="AF3" i="18"/>
  <c r="AJ29" i="17" s="1"/>
  <c r="AN15" i="14"/>
  <c r="EC23" i="17" s="1"/>
  <c r="AN12" i="14"/>
  <c r="EC29" i="17" s="1"/>
  <c r="AM7" i="14"/>
  <c r="EC9" i="17" s="1"/>
  <c r="AM5" i="14"/>
  <c r="EC13" i="17" s="1"/>
  <c r="AM6" i="14"/>
  <c r="EC11" i="17" s="1"/>
  <c r="AN14" i="14"/>
  <c r="EC25" i="17" s="1"/>
  <c r="AN11" i="14"/>
  <c r="EC31" i="17" s="1"/>
  <c r="AN10" i="14"/>
  <c r="EC33" i="17" s="1"/>
  <c r="AN13" i="14"/>
  <c r="EC27" i="17" s="1"/>
  <c r="AN9" i="14"/>
  <c r="EC35" i="17" s="1"/>
  <c r="AV10" i="17"/>
  <c r="CJ40" i="17"/>
  <c r="CL36" i="17"/>
  <c r="AT7" i="17"/>
  <c r="G1" i="20"/>
  <c r="I1" i="20" s="1"/>
  <c r="J1" i="20" s="1"/>
  <c r="J14" i="16"/>
  <c r="C19" i="9"/>
  <c r="J19" i="16" l="1"/>
  <c r="AJ3" i="18"/>
  <c r="DD16" i="17"/>
  <c r="AU36" i="14"/>
  <c r="AX28" i="14" s="1"/>
  <c r="AX18" i="14"/>
  <c r="AU29" i="14"/>
  <c r="AX24" i="14" s="1"/>
  <c r="AY24" i="14" s="1"/>
  <c r="F33" i="26" s="1"/>
  <c r="FP3" i="18" s="1"/>
  <c r="AQ3" i="18"/>
  <c r="J21" i="16"/>
  <c r="AU43" i="14"/>
  <c r="EC20" i="17"/>
  <c r="J29" i="16" s="1"/>
  <c r="CN36" i="17"/>
  <c r="CN40" i="17" s="1"/>
  <c r="CL40" i="17"/>
  <c r="CN42" i="17"/>
  <c r="CN48" i="17" s="1"/>
  <c r="CL48" i="17"/>
  <c r="HC21" i="17" s="1"/>
  <c r="AM4" i="14"/>
  <c r="EC15" i="17" s="1"/>
  <c r="EC6" i="17" s="1"/>
  <c r="J28" i="16" s="1"/>
  <c r="AT3" i="18"/>
  <c r="J22" i="16"/>
  <c r="DD13" i="17" l="1"/>
  <c r="B74" i="9" s="1"/>
  <c r="AX42" i="14"/>
  <c r="AY42" i="14" s="1"/>
  <c r="AX29" i="14"/>
  <c r="AY29" i="14" s="1"/>
  <c r="F46" i="26" s="1"/>
  <c r="FZ3" i="18" s="1"/>
  <c r="AX22" i="14"/>
  <c r="AX21" i="14" s="1"/>
  <c r="AY21" i="14" s="1"/>
  <c r="AX37" i="14"/>
  <c r="AY37" i="14" s="1"/>
  <c r="F28" i="26" s="1"/>
  <c r="FL3" i="18" s="1"/>
  <c r="AX23" i="14"/>
  <c r="AY23" i="14" s="1"/>
  <c r="F32" i="26" s="1"/>
  <c r="FO3" i="18" s="1"/>
  <c r="AX19" i="14"/>
  <c r="AY19" i="14" s="1"/>
  <c r="F26" i="26" s="1"/>
  <c r="FJ3" i="18" s="1"/>
  <c r="AX38" i="14"/>
  <c r="AY38" i="14" s="1"/>
  <c r="F34" i="26" s="1"/>
  <c r="FQ3" i="18" s="1"/>
  <c r="AX17" i="14"/>
  <c r="AY18" i="14"/>
  <c r="F25" i="26" s="1"/>
  <c r="AX27" i="14"/>
  <c r="AY27" i="14" s="1"/>
  <c r="AM85" i="14" s="1"/>
  <c r="AY28" i="14"/>
  <c r="F45" i="26" s="1"/>
  <c r="AX40" i="14" l="1"/>
  <c r="AY40" i="14" s="1"/>
  <c r="DD25" i="17"/>
  <c r="DD40" i="17" s="1"/>
  <c r="AM20" i="14" s="1"/>
  <c r="BK3" i="18"/>
  <c r="GO3" i="18" s="1"/>
  <c r="N11" i="26"/>
  <c r="GF3" i="18" s="1"/>
  <c r="AN89" i="14"/>
  <c r="FY9" i="17"/>
  <c r="FY18" i="17" s="1"/>
  <c r="AY41" i="14"/>
  <c r="AN88" i="14" s="1"/>
  <c r="HC25" i="17"/>
  <c r="M42" i="17" s="1"/>
  <c r="BQ3" i="18"/>
  <c r="GU3" i="18" s="1"/>
  <c r="HE3" i="18" s="1"/>
  <c r="DG46" i="17"/>
  <c r="HC27" i="17" s="1"/>
  <c r="M46" i="17" s="1"/>
  <c r="AX36" i="14"/>
  <c r="AY36" i="14" s="1"/>
  <c r="AY22" i="14"/>
  <c r="F31" i="26" s="1"/>
  <c r="F29" i="26" s="1"/>
  <c r="FM3" i="18" s="1"/>
  <c r="AM83" i="14"/>
  <c r="BR3" i="18"/>
  <c r="GV3" i="18" s="1"/>
  <c r="F23" i="26"/>
  <c r="FI3" i="18"/>
  <c r="AY17" i="14"/>
  <c r="AM82" i="14" s="1"/>
  <c r="F43" i="26"/>
  <c r="FY3" i="18"/>
  <c r="HC28" i="17" l="1"/>
  <c r="DG48" i="17"/>
  <c r="FY15" i="17"/>
  <c r="H3" i="18" s="1"/>
  <c r="DK46" i="17"/>
  <c r="CA3" i="18" s="1"/>
  <c r="N9" i="26"/>
  <c r="N7" i="26" s="1"/>
  <c r="GD3" i="18" s="1"/>
  <c r="FN3" i="18"/>
  <c r="DC3" i="18"/>
  <c r="E38" i="6"/>
  <c r="C38" i="6" s="1"/>
  <c r="FQ4" i="17"/>
  <c r="DK48" i="17"/>
  <c r="CB3" i="18" s="1"/>
  <c r="AN21" i="14"/>
  <c r="HC29" i="17"/>
  <c r="AN8" i="14"/>
  <c r="EC40" i="17"/>
  <c r="J30" i="16" s="1"/>
  <c r="FX3" i="18"/>
  <c r="GA3" i="18"/>
  <c r="FH3" i="18"/>
  <c r="GE3" i="18" l="1"/>
  <c r="EJ38" i="17"/>
  <c r="C30" i="6"/>
  <c r="HC39" i="17"/>
  <c r="J46" i="16"/>
  <c r="DD3" i="18"/>
  <c r="J32" i="16"/>
  <c r="AM41" i="14"/>
  <c r="FQ14" i="17"/>
  <c r="CD3" i="18" l="1"/>
  <c r="HC31" i="17"/>
  <c r="J34" i="16"/>
  <c r="C39" i="6"/>
  <c r="C42" i="6" s="1"/>
  <c r="AM73" i="14"/>
  <c r="EJ31" i="17"/>
  <c r="AX26" i="14"/>
  <c r="AY26" i="14" l="1"/>
  <c r="F42" i="26" s="1"/>
  <c r="AX25" i="14"/>
  <c r="AX5" i="14" s="1"/>
  <c r="AY5" i="14" s="1"/>
  <c r="EJ39" i="17"/>
  <c r="CK3" i="18"/>
  <c r="EJ48" i="17" l="1"/>
  <c r="CP3" i="18" s="1"/>
  <c r="FQ24" i="17"/>
  <c r="FY12" i="17"/>
  <c r="CL3" i="18"/>
  <c r="AY25" i="14"/>
  <c r="AM84" i="14" s="1"/>
  <c r="FW3" i="18"/>
  <c r="F40" i="26"/>
  <c r="FV3" i="18" l="1"/>
  <c r="F7" i="26"/>
  <c r="EW3" i="18" s="1"/>
  <c r="HC32" i="17"/>
  <c r="M48" i="17" s="1"/>
  <c r="AN44" i="14"/>
  <c r="J36" i="16"/>
  <c r="FQ30" i="17"/>
  <c r="AX45" i="14"/>
  <c r="N17" i="26" s="1"/>
  <c r="GH3" i="18" s="1"/>
  <c r="AX46" i="14"/>
  <c r="FY21" i="17" l="1"/>
  <c r="DE3" i="18" s="1"/>
  <c r="FN41" i="17"/>
  <c r="CY3" i="18"/>
  <c r="J42" i="16"/>
  <c r="HC36" i="17"/>
  <c r="M50" i="17" s="1"/>
  <c r="FU47" i="17"/>
  <c r="FY24" i="17"/>
  <c r="AX47" i="14"/>
  <c r="N23" i="26" s="1"/>
  <c r="GL3" i="18" s="1"/>
  <c r="N20" i="26"/>
  <c r="GK3" i="18" s="1"/>
  <c r="HC40" i="17" l="1"/>
  <c r="J47" i="16"/>
  <c r="DB3" i="18"/>
  <c r="AN47" i="14"/>
  <c r="HC37" i="17"/>
  <c r="J43" i="16"/>
  <c r="DF3" i="18"/>
  <c r="HC41" i="17"/>
  <c r="J48" i="16"/>
  <c r="J44" i="16"/>
  <c r="HC38" i="17"/>
  <c r="M52" i="17" s="1"/>
  <c r="DA3" i="18"/>
  <c r="BA32" i="17"/>
  <c r="DZ3" i="18" s="1"/>
  <c r="BA26" i="17"/>
  <c r="DW3" i="18" s="1"/>
  <c r="BA36" i="17"/>
  <c r="EC3" i="18" s="1"/>
  <c r="BA40" i="17"/>
  <c r="ED3" i="18" s="1"/>
  <c r="BA21" i="17"/>
  <c r="EU3" i="18" s="1"/>
  <c r="BA38" i="17"/>
  <c r="EB3" i="18" s="1"/>
  <c r="BA34" i="17"/>
  <c r="EA3" i="18" s="1"/>
  <c r="BA30" i="17"/>
  <c r="DX3" i="18" s="1"/>
  <c r="HC24" i="17"/>
  <c r="M32" i="17" s="1"/>
  <c r="BA18" i="17"/>
  <c r="BA10" i="17"/>
  <c r="BA16" i="17"/>
  <c r="BA12" i="17"/>
  <c r="BA14" i="17"/>
  <c r="BA23" i="17"/>
  <c r="BA28" i="17"/>
  <c r="DY3" i="18" s="1"/>
  <c r="EE3" i="18" l="1"/>
  <c r="J26" i="16"/>
  <c r="BA43" i="1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<sst xmlns="http://schemas.openxmlformats.org/spreadsheetml/2006/main" count="3090" uniqueCount="1122">
  <si>
    <t>INFORMATIONS GENERALES</t>
  </si>
  <si>
    <t>INFORMATIONS COÛT DE PRODUCTION</t>
  </si>
  <si>
    <t>Campagne</t>
  </si>
  <si>
    <t>2023</t>
  </si>
  <si>
    <t>Type atelier ovin viande</t>
  </si>
  <si>
    <t>Exploitation</t>
  </si>
  <si>
    <t>Type autre atelier animal</t>
  </si>
  <si>
    <t>Exploitant</t>
  </si>
  <si>
    <t xml:space="preserve"> </t>
  </si>
  <si>
    <t>Type grande culture</t>
  </si>
  <si>
    <t>Adresse</t>
  </si>
  <si>
    <t>Type culture fourragère</t>
  </si>
  <si>
    <t>UGB autre atelier animal</t>
  </si>
  <si>
    <t>Commune</t>
  </si>
  <si>
    <t>Part surface céréale ovin</t>
  </si>
  <si>
    <t>Mail</t>
  </si>
  <si>
    <t>Part surface céréale de vente</t>
  </si>
  <si>
    <t>Téléphone</t>
  </si>
  <si>
    <t>Part surface céréale autre atelier animal</t>
  </si>
  <si>
    <t>N° Pacage</t>
  </si>
  <si>
    <t>Part surface culture fourragère ovin</t>
  </si>
  <si>
    <t>N° EDE</t>
  </si>
  <si>
    <t>Part surface fourragère vente</t>
  </si>
  <si>
    <t>Système</t>
  </si>
  <si>
    <t>Part surface culture fourragère autre atelier animal</t>
  </si>
  <si>
    <t>Agriculture bio</t>
  </si>
  <si>
    <t>Coût de production céréale (€/t)</t>
  </si>
  <si>
    <t>UMO TOTAL</t>
  </si>
  <si>
    <t>ASSOLEMENT</t>
  </si>
  <si>
    <t>dont ovine</t>
  </si>
  <si>
    <t>SAU</t>
  </si>
  <si>
    <t>Dont ovine</t>
  </si>
  <si>
    <t>Fumure</t>
  </si>
  <si>
    <t>UMO exploitant</t>
  </si>
  <si>
    <t>Culture fourragère</t>
  </si>
  <si>
    <t>UMO salarié</t>
  </si>
  <si>
    <t>UMO bénévole</t>
  </si>
  <si>
    <t>Prairie temporaire</t>
  </si>
  <si>
    <t>TROUPEAU OVIN</t>
  </si>
  <si>
    <t>Effectif brebis</t>
  </si>
  <si>
    <t>Race brebis</t>
  </si>
  <si>
    <t>Effectif bélier</t>
  </si>
  <si>
    <t>Prairie permanente</t>
  </si>
  <si>
    <t>Race bélier</t>
  </si>
  <si>
    <t>Grande culture</t>
  </si>
  <si>
    <t>Conduite raciale</t>
  </si>
  <si>
    <t>Objectif de finition des agneaux</t>
  </si>
  <si>
    <t>Objectif de reproduction</t>
  </si>
  <si>
    <t>Culture perrenne</t>
  </si>
  <si>
    <t>Estive collective</t>
  </si>
  <si>
    <t>Surface pastorale</t>
  </si>
  <si>
    <t xml:space="preserve">Date estive </t>
  </si>
  <si>
    <t>Nombre d'animaux GP</t>
  </si>
  <si>
    <t>Nombre d'animaux exploitation</t>
  </si>
  <si>
    <t>janvier</t>
  </si>
  <si>
    <t>février</t>
  </si>
  <si>
    <t>mars</t>
  </si>
  <si>
    <t>avril</t>
  </si>
  <si>
    <t>mai</t>
  </si>
  <si>
    <t>juin</t>
  </si>
  <si>
    <t>juillet</t>
  </si>
  <si>
    <t>août</t>
  </si>
  <si>
    <t>septembre</t>
  </si>
  <si>
    <t>octobre</t>
  </si>
  <si>
    <t>novembre</t>
  </si>
  <si>
    <t>décembre</t>
  </si>
  <si>
    <t>TOTAL</t>
  </si>
  <si>
    <t>Cohérence</t>
  </si>
  <si>
    <t>EMP</t>
  </si>
  <si>
    <t>Achat reproductrice</t>
  </si>
  <si>
    <t>dont agnelles</t>
  </si>
  <si>
    <t>Vente brebis</t>
  </si>
  <si>
    <t>Achats</t>
  </si>
  <si>
    <t>Renouvellement</t>
  </si>
  <si>
    <t>Agnelles autorenouvellement</t>
  </si>
  <si>
    <t>Part femelle mise à la repro</t>
  </si>
  <si>
    <t>Mortes</t>
  </si>
  <si>
    <t>Taux de mortalité agneau</t>
  </si>
  <si>
    <t>Dont prédation</t>
  </si>
  <si>
    <t>Prolificité</t>
  </si>
  <si>
    <t>Réformées</t>
  </si>
  <si>
    <t>Date agnelage</t>
  </si>
  <si>
    <t>Stock début</t>
  </si>
  <si>
    <t xml:space="preserve"> Morts</t>
  </si>
  <si>
    <t>Vendus</t>
  </si>
  <si>
    <t xml:space="preserve"> Gardés</t>
  </si>
  <si>
    <t xml:space="preserve"> Autoconso</t>
  </si>
  <si>
    <t>Stock fin</t>
  </si>
  <si>
    <t xml:space="preserve"> + Achats</t>
  </si>
  <si>
    <t xml:space="preserve">  + Auto-renouv</t>
  </si>
  <si>
    <t xml:space="preserve"> - Ventes</t>
  </si>
  <si>
    <t xml:space="preserve"> - Morts</t>
  </si>
  <si>
    <t xml:space="preserve"> = Stock fin</t>
  </si>
  <si>
    <t>Agneaux stock</t>
  </si>
  <si>
    <t>Béliers</t>
  </si>
  <si>
    <t>Bilan agnelage</t>
  </si>
  <si>
    <t>Nombre femelles</t>
  </si>
  <si>
    <t>Mise bas</t>
  </si>
  <si>
    <t>Nés</t>
  </si>
  <si>
    <t>Morts</t>
  </si>
  <si>
    <t>Agneaux produits</t>
  </si>
  <si>
    <t>Gardés</t>
  </si>
  <si>
    <t>Autoconso</t>
  </si>
  <si>
    <t>Hiver</t>
  </si>
  <si>
    <t>Printemps</t>
  </si>
  <si>
    <t>Eté</t>
  </si>
  <si>
    <t>Automne</t>
  </si>
  <si>
    <t>VENTE ANIMAUX</t>
  </si>
  <si>
    <t>PRODUITS ANIMAUX</t>
  </si>
  <si>
    <t>Date</t>
  </si>
  <si>
    <t>Agnelage</t>
  </si>
  <si>
    <t>Commercialisation</t>
  </si>
  <si>
    <t>Type animaux</t>
  </si>
  <si>
    <t>Nombre</t>
  </si>
  <si>
    <t>Poids carcasse</t>
  </si>
  <si>
    <t>Montant</t>
  </si>
  <si>
    <t>Poids moyen</t>
  </si>
  <si>
    <t>Montant/poids</t>
  </si>
  <si>
    <t>Montant individu</t>
  </si>
  <si>
    <t>Age moyen</t>
  </si>
  <si>
    <t>Viande</t>
  </si>
  <si>
    <t>Laine</t>
  </si>
  <si>
    <t>Quantité (t)</t>
  </si>
  <si>
    <t>Fumier</t>
  </si>
  <si>
    <t>Autres produits</t>
  </si>
  <si>
    <t>Indémnité</t>
  </si>
  <si>
    <t>PRODUITS SFP</t>
  </si>
  <si>
    <t>Fourrage vendu</t>
  </si>
  <si>
    <t>Poids carcasse de référence</t>
  </si>
  <si>
    <t>Agneaux lourds label</t>
  </si>
  <si>
    <t>Agneaux lourds bio</t>
  </si>
  <si>
    <t>Agneaux lourds standards</t>
  </si>
  <si>
    <t>Agneaux lourd adret</t>
  </si>
  <si>
    <t>Tardons maigres</t>
  </si>
  <si>
    <t>Tardons finis</t>
  </si>
  <si>
    <t>Agneaux maigres</t>
  </si>
  <si>
    <t>Agneaux légers</t>
  </si>
  <si>
    <t>Jeunes femelles reproduction</t>
  </si>
  <si>
    <t>Jeunes males reproduction</t>
  </si>
  <si>
    <t>Adulte</t>
  </si>
  <si>
    <t>Circuit long</t>
  </si>
  <si>
    <t>Brebis reproduction</t>
  </si>
  <si>
    <t>pour tableau croisé</t>
  </si>
  <si>
    <t>Brebis réformés</t>
  </si>
  <si>
    <t>Béliers réformés</t>
  </si>
  <si>
    <t>Béliers reproduction</t>
  </si>
  <si>
    <t>Stock</t>
  </si>
  <si>
    <t>Vente en directe</t>
  </si>
  <si>
    <t>Autoconsommation</t>
  </si>
  <si>
    <t>FRAIS D'ALIMENTATION</t>
  </si>
  <si>
    <t>Céréales</t>
  </si>
  <si>
    <t>Nature</t>
  </si>
  <si>
    <t>Céréales cession interne</t>
  </si>
  <si>
    <t>Concentrés</t>
  </si>
  <si>
    <t>complet</t>
  </si>
  <si>
    <t>Total</t>
  </si>
  <si>
    <t>complémentaire</t>
  </si>
  <si>
    <t>CMV</t>
  </si>
  <si>
    <t>Lait en poudre</t>
  </si>
  <si>
    <t>Foin</t>
  </si>
  <si>
    <t>Paille</t>
  </si>
  <si>
    <t>Herbe sur pied</t>
  </si>
  <si>
    <t>Estive / Hivernage</t>
  </si>
  <si>
    <t>FRAIS D'ELEVAGE</t>
  </si>
  <si>
    <t>Frais de reproduction</t>
  </si>
  <si>
    <t>Identification, GDS, cotisations (coop, ciel d'azur, fdo…)</t>
  </si>
  <si>
    <t>GDS</t>
  </si>
  <si>
    <t>EDER</t>
  </si>
  <si>
    <t>CVO</t>
  </si>
  <si>
    <t>Chien conduite</t>
  </si>
  <si>
    <t>Frais divers élevage</t>
  </si>
  <si>
    <t>Boucle</t>
  </si>
  <si>
    <t>FRAIS DE VETERINAIRE</t>
  </si>
  <si>
    <t>Frais de vétérinaire</t>
  </si>
  <si>
    <t>ACHATS D'ANIMAUX</t>
  </si>
  <si>
    <t>Brebis</t>
  </si>
  <si>
    <t>Agnelles</t>
  </si>
  <si>
    <t>Bélier</t>
  </si>
  <si>
    <t>AUTRES</t>
  </si>
  <si>
    <t>Taxe animale</t>
  </si>
  <si>
    <t>Interbev</t>
  </si>
  <si>
    <t>Traveaux par tiers (tonte, parage..)</t>
  </si>
  <si>
    <t>Dates d'abattage</t>
  </si>
  <si>
    <t>Nombre d'agneaux</t>
  </si>
  <si>
    <t>Quantité(kg)</t>
  </si>
  <si>
    <t>Frais de transformation (abattage, découpe..)</t>
  </si>
  <si>
    <t>Frais de commercialisation</t>
  </si>
  <si>
    <t>Frais SFPO</t>
  </si>
  <si>
    <t>Engrais/amendement SFPO</t>
  </si>
  <si>
    <t>Semence SFPO</t>
  </si>
  <si>
    <t>Produit phyto SFPO</t>
  </si>
  <si>
    <t>Irrigation SFPO</t>
  </si>
  <si>
    <t>Ficelle et divers SFPO</t>
  </si>
  <si>
    <t>Travaux par tiers SFPO</t>
  </si>
  <si>
    <t>Frais CUMA SFPO</t>
  </si>
  <si>
    <t>Produits</t>
  </si>
  <si>
    <t xml:space="preserve"> Achats</t>
  </si>
  <si>
    <t xml:space="preserve"> Ventes</t>
  </si>
  <si>
    <t xml:space="preserve"> Consommation hors ovin</t>
  </si>
  <si>
    <t xml:space="preserve"> Stock fin</t>
  </si>
  <si>
    <t xml:space="preserve"> Consommation Ovin</t>
  </si>
  <si>
    <t>Consommation par EMP</t>
  </si>
  <si>
    <t>Autonomie massique</t>
  </si>
  <si>
    <t>Foin (t)</t>
  </si>
  <si>
    <t>Fourrage</t>
  </si>
  <si>
    <t>Paille (t)</t>
  </si>
  <si>
    <t>Grain (t)</t>
  </si>
  <si>
    <t>Céréale et aliment</t>
  </si>
  <si>
    <t>Aliment (t)</t>
  </si>
  <si>
    <t>Description des rations</t>
  </si>
  <si>
    <t>Répartition des concentrés</t>
  </si>
  <si>
    <t>reste à répartir</t>
  </si>
  <si>
    <t>Quantité aliment (t) Agneaux</t>
  </si>
  <si>
    <t>Quantité aliment (t) Brebis</t>
  </si>
  <si>
    <t>Quantité céréale (t) Agneaux</t>
  </si>
  <si>
    <t>Quantité céréale (t) Brebis</t>
  </si>
  <si>
    <t>Atelier</t>
  </si>
  <si>
    <t>Charge</t>
  </si>
  <si>
    <t>Produit</t>
  </si>
  <si>
    <t>Marge brute de l'atelier</t>
  </si>
  <si>
    <t>Culture</t>
  </si>
  <si>
    <t>Surface</t>
  </si>
  <si>
    <t>Production (t)</t>
  </si>
  <si>
    <t>Rendement (qtx/ha)</t>
  </si>
  <si>
    <t>CHARGES</t>
  </si>
  <si>
    <t>QUANTITE</t>
  </si>
  <si>
    <t>PRIX/UNITE</t>
  </si>
  <si>
    <t>TOTAL/HA</t>
  </si>
  <si>
    <t>FERTILISATION</t>
  </si>
  <si>
    <t>Minérale</t>
  </si>
  <si>
    <t>Organique</t>
  </si>
  <si>
    <t>Autre</t>
  </si>
  <si>
    <t>SEMENCE</t>
  </si>
  <si>
    <t>Semence</t>
  </si>
  <si>
    <t>TRAITEMENTS</t>
  </si>
  <si>
    <t>Herbicide</t>
  </si>
  <si>
    <t>Fongicide</t>
  </si>
  <si>
    <t>Traitement semence</t>
  </si>
  <si>
    <t>IRRIGATION</t>
  </si>
  <si>
    <t>Irrigation</t>
  </si>
  <si>
    <t>RECOLTE &amp; DIVERS</t>
  </si>
  <si>
    <t>Travaux par tiers</t>
  </si>
  <si>
    <t>Cuma</t>
  </si>
  <si>
    <t>Ficelles</t>
  </si>
  <si>
    <t>Stokage</t>
  </si>
  <si>
    <t>Autres</t>
  </si>
  <si>
    <t>PRODUITS</t>
  </si>
  <si>
    <t>Grain autoconsommé (t)</t>
  </si>
  <si>
    <t>Grain vendu (t)</t>
  </si>
  <si>
    <t>Semence fermière</t>
  </si>
  <si>
    <t>Paille autoconsommé (t)</t>
  </si>
  <si>
    <t>Paille vendu (t)</t>
  </si>
  <si>
    <t>Aides couplées</t>
  </si>
  <si>
    <t>MARGE BRUTE hors prime</t>
  </si>
  <si>
    <t>MARGE BRUTE TOTAL</t>
  </si>
  <si>
    <t>Charges foncières</t>
  </si>
  <si>
    <t>Fermage</t>
  </si>
  <si>
    <t>Entretien du foncier</t>
  </si>
  <si>
    <t>Impôt foncier</t>
  </si>
  <si>
    <t>Charges matériel</t>
  </si>
  <si>
    <t>Entretien matériel</t>
  </si>
  <si>
    <t>Petit matériel</t>
  </si>
  <si>
    <t>Crédit bail</t>
  </si>
  <si>
    <t>Traveaux par tier, frais de CUMA</t>
  </si>
  <si>
    <t>Carburant voiture</t>
  </si>
  <si>
    <t>Quantité (L)</t>
  </si>
  <si>
    <t>Carburant tracteur</t>
  </si>
  <si>
    <t>Lubrifiant</t>
  </si>
  <si>
    <t>Charges batiment</t>
  </si>
  <si>
    <t>Entretien bâtiment</t>
  </si>
  <si>
    <t>Location bâtiment</t>
  </si>
  <si>
    <t>Assurance</t>
  </si>
  <si>
    <t>Assurance matériel/batiment</t>
  </si>
  <si>
    <t>Assurance emprunt</t>
  </si>
  <si>
    <t>Charges main d'œuvre</t>
  </si>
  <si>
    <t>Charge sociale exploitant</t>
  </si>
  <si>
    <t>Salaire+charge sociale employé</t>
  </si>
  <si>
    <t>Charges protection</t>
  </si>
  <si>
    <t>Chien de protection</t>
  </si>
  <si>
    <t>Alimentation</t>
  </si>
  <si>
    <t>Matériel protection</t>
  </si>
  <si>
    <t>Gardiennage protection</t>
  </si>
  <si>
    <t>Charge diverses</t>
  </si>
  <si>
    <t>Divers</t>
  </si>
  <si>
    <t>Frais de gestion</t>
  </si>
  <si>
    <t>Déplacement</t>
  </si>
  <si>
    <t>Eau</t>
  </si>
  <si>
    <t>Electricité</t>
  </si>
  <si>
    <t>Quantité (KWh)</t>
  </si>
  <si>
    <t>Taxe et impôt</t>
  </si>
  <si>
    <t>ADAR</t>
  </si>
  <si>
    <t>TOTAL CHARGE DE STUCUTURE (hors ammortissement)</t>
  </si>
  <si>
    <t>Amortissement matériel</t>
  </si>
  <si>
    <t>Ammortissement bâtiment</t>
  </si>
  <si>
    <t>TOTAL CHARGE DE STUCUTURE</t>
  </si>
  <si>
    <t>Frais financier cours terme</t>
  </si>
  <si>
    <t>Capitaux à rembourser</t>
  </si>
  <si>
    <t>Intérêts à rembourser</t>
  </si>
  <si>
    <t>Valeur d'achat</t>
  </si>
  <si>
    <t>Anné d'achat</t>
  </si>
  <si>
    <t>Duré d'amortissement</t>
  </si>
  <si>
    <t xml:space="preserve">Année de fin </t>
  </si>
  <si>
    <t>Montant annuel</t>
  </si>
  <si>
    <t>Amortissement batiment/installation</t>
  </si>
  <si>
    <t>anné d'achat</t>
  </si>
  <si>
    <t>Aides découplés</t>
  </si>
  <si>
    <t>Prix moyen</t>
  </si>
  <si>
    <t>Montants</t>
  </si>
  <si>
    <t>Aides couplés atelier ovin</t>
  </si>
  <si>
    <t xml:space="preserve">Paiement de base </t>
  </si>
  <si>
    <t>Aides couplées ovine</t>
  </si>
  <si>
    <t>Paiement redistributif</t>
  </si>
  <si>
    <t>Aides légumineuses</t>
  </si>
  <si>
    <t>Ecorégime</t>
  </si>
  <si>
    <t>JA</t>
  </si>
  <si>
    <t>ICHN</t>
  </si>
  <si>
    <t>Mesure loup</t>
  </si>
  <si>
    <t>MAEC / Bio</t>
  </si>
  <si>
    <t>Données brute</t>
  </si>
  <si>
    <t>EXPLOITATION</t>
  </si>
  <si>
    <t>EFFECTIF</t>
  </si>
  <si>
    <t>BILAN AGNELAGE</t>
  </si>
  <si>
    <t>STOCK ET CONSOMMATION</t>
  </si>
  <si>
    <t>PRODUIT OVIN</t>
  </si>
  <si>
    <t>CHARGE OP. OVINE</t>
  </si>
  <si>
    <t>MARGE BRUTE</t>
  </si>
  <si>
    <t>CHARGES DE STRUCTURES</t>
  </si>
  <si>
    <t>AIDE DECOUPLE</t>
  </si>
  <si>
    <t>RESULTATS ECO</t>
  </si>
  <si>
    <t>COMMERCIALISATION</t>
  </si>
  <si>
    <t>COUT DE PRODUCTION</t>
  </si>
  <si>
    <t>Nom</t>
  </si>
  <si>
    <t>Type</t>
  </si>
  <si>
    <t>Produit ovin / Produit hors aides découplés</t>
  </si>
  <si>
    <t>UMO ovine</t>
  </si>
  <si>
    <t>SFPO</t>
  </si>
  <si>
    <t>Culture pérenne</t>
  </si>
  <si>
    <t>Evolution annuelle du troupeau</t>
  </si>
  <si>
    <t>Taux de mortalité brebis</t>
  </si>
  <si>
    <t>Taux de prédation brebis</t>
  </si>
  <si>
    <t>Taux de renouvellement brebis</t>
  </si>
  <si>
    <t>Nombre bélier</t>
  </si>
  <si>
    <t>Evolution annuelle bélier</t>
  </si>
  <si>
    <t>Taux de mortalité bélier</t>
  </si>
  <si>
    <t>Ratio brebis/bélier</t>
  </si>
  <si>
    <t>Taux de mise bas</t>
  </si>
  <si>
    <t>Taux de prolificité</t>
  </si>
  <si>
    <t>Taux de mortalité agneaux</t>
  </si>
  <si>
    <t>Taux de productivité numérique</t>
  </si>
  <si>
    <t>Nombre d'agneaux nés</t>
  </si>
  <si>
    <t>Nombre d'agneaux stock début</t>
  </si>
  <si>
    <t>Nombre d'agneaux vendus</t>
  </si>
  <si>
    <t>Nombre agneaux gardés</t>
  </si>
  <si>
    <t>Nombre d'agneaux autoconsommée</t>
  </si>
  <si>
    <t>Nombre d'agneaux stock fin</t>
  </si>
  <si>
    <t>Foin / EMP</t>
  </si>
  <si>
    <t>Paille / EMP</t>
  </si>
  <si>
    <t>Autonomie  massique en fourrage (%)</t>
  </si>
  <si>
    <t>Céréale / EMP</t>
  </si>
  <si>
    <t>Aliment / EMP</t>
  </si>
  <si>
    <t>Autonomie massique en concentrés (%)</t>
  </si>
  <si>
    <t>Quantité aliment par agneaux</t>
  </si>
  <si>
    <t>Quantité céréale par agneaux</t>
  </si>
  <si>
    <t>Coût concentrés par agneaux</t>
  </si>
  <si>
    <t>Coût concentrés par kilo agneaux produits</t>
  </si>
  <si>
    <t>Quantité aliment par brebis</t>
  </si>
  <si>
    <t>Quantité céréale par brebis</t>
  </si>
  <si>
    <t>Foin produit</t>
  </si>
  <si>
    <t>Rendement foin</t>
  </si>
  <si>
    <t>Céréale produite</t>
  </si>
  <si>
    <t>Rendement céréale</t>
  </si>
  <si>
    <t>Paille produite</t>
  </si>
  <si>
    <t>Rendement paille</t>
  </si>
  <si>
    <t>Produit viande</t>
  </si>
  <si>
    <t>Frais achat animaux</t>
  </si>
  <si>
    <t>Variation de stock</t>
  </si>
  <si>
    <t>Vente de fourrage</t>
  </si>
  <si>
    <t>Autres produits ovins</t>
  </si>
  <si>
    <t>Aides couplés</t>
  </si>
  <si>
    <t>Aide ovine</t>
  </si>
  <si>
    <t>Aide légumineuse</t>
  </si>
  <si>
    <t>Produit ovin (hors aides)</t>
  </si>
  <si>
    <t>Produit ovin totale</t>
  </si>
  <si>
    <t>Frais d'alimentation</t>
  </si>
  <si>
    <t>Frais d'élevage</t>
  </si>
  <si>
    <t>Frais de transformation</t>
  </si>
  <si>
    <t>Frais de SFPO</t>
  </si>
  <si>
    <t>Charge op. ovine</t>
  </si>
  <si>
    <t>Marge brute ovine hors aides couplées</t>
  </si>
  <si>
    <t>Marge brute ovine</t>
  </si>
  <si>
    <t>Marge brute autre atelier totale</t>
  </si>
  <si>
    <t>Marge brute totale</t>
  </si>
  <si>
    <t>Charge de main d'œuvre</t>
  </si>
  <si>
    <t>Charges de protection</t>
  </si>
  <si>
    <t>Charges diverses</t>
  </si>
  <si>
    <t>Charges de structure hors amortissements</t>
  </si>
  <si>
    <t>Frais financiers</t>
  </si>
  <si>
    <t>Amortissements matériel</t>
  </si>
  <si>
    <t>Amortissements batiment</t>
  </si>
  <si>
    <t>Charges de structure totales</t>
  </si>
  <si>
    <t>DPB</t>
  </si>
  <si>
    <t>Paiement JA</t>
  </si>
  <si>
    <t>MAEC / BIO</t>
  </si>
  <si>
    <t>Aides découplées totales</t>
  </si>
  <si>
    <t>EBE</t>
  </si>
  <si>
    <t>Annuité en capital</t>
  </si>
  <si>
    <t>Revenue disponible/UMO</t>
  </si>
  <si>
    <t>Résultat courant</t>
  </si>
  <si>
    <t>Produit total</t>
  </si>
  <si>
    <t>Aide / Produit</t>
  </si>
  <si>
    <t>EBE / Produit</t>
  </si>
  <si>
    <t>Annuité / EBE</t>
  </si>
  <si>
    <t>Prix  tête agneaux label</t>
  </si>
  <si>
    <t>Prix  tête agneaux standard</t>
  </si>
  <si>
    <t>Prix  tête agneaux adret</t>
  </si>
  <si>
    <t>Prix  tête agneaux bio</t>
  </si>
  <si>
    <t>Prix  tête agneaux léger</t>
  </si>
  <si>
    <t>Prix  tête agneaux tardon</t>
  </si>
  <si>
    <t>Prix  tête agneaux maigre</t>
  </si>
  <si>
    <t>Prix  tête agneaux reproducteur</t>
  </si>
  <si>
    <t>Prix  tête agneaux lourds</t>
  </si>
  <si>
    <t>Prix  tête agneaux tout</t>
  </si>
  <si>
    <t>Prix  tête brebis réforme</t>
  </si>
  <si>
    <t>Prix  kgc agneaux label</t>
  </si>
  <si>
    <t>Prix  kgc agneaux standard</t>
  </si>
  <si>
    <t>Prix  kgc agneaux adret</t>
  </si>
  <si>
    <t>Prix moyen kgc agneaux lourds</t>
  </si>
  <si>
    <t>Prix moyen kgc agneaux bio</t>
  </si>
  <si>
    <t>Part agneaux label</t>
  </si>
  <si>
    <t>Part agneaux standard</t>
  </si>
  <si>
    <t>Part agneaux adret</t>
  </si>
  <si>
    <t>Part agneaux bio</t>
  </si>
  <si>
    <t>Part agneaux léger</t>
  </si>
  <si>
    <t>Part agneaux tardon</t>
  </si>
  <si>
    <t>Part agneaux maigre</t>
  </si>
  <si>
    <t>Part agneaux reproducteur</t>
  </si>
  <si>
    <t>Part agneaux lourds</t>
  </si>
  <si>
    <t>Nombre agneaux label</t>
  </si>
  <si>
    <t>Nombre agneaux standard</t>
  </si>
  <si>
    <t>Nombre agneaux adret</t>
  </si>
  <si>
    <t>Nombre agneaux bio</t>
  </si>
  <si>
    <t>Nombre agneaux léger</t>
  </si>
  <si>
    <t>Nombre agneaux tardon</t>
  </si>
  <si>
    <t>Nombre agneaux maigre</t>
  </si>
  <si>
    <t>Nombre agneaux reproducteur</t>
  </si>
  <si>
    <t>Nombre agneaux lourds</t>
  </si>
  <si>
    <t>Nombre brebis réforme</t>
  </si>
  <si>
    <t>Poids agneaux label</t>
  </si>
  <si>
    <t>Poids agneaux standard</t>
  </si>
  <si>
    <t>Poids agneaux adret</t>
  </si>
  <si>
    <t>Poids agneaux bio</t>
  </si>
  <si>
    <t>Poids agneaux lourds</t>
  </si>
  <si>
    <t>Part d'agneaux en circuit long</t>
  </si>
  <si>
    <t>Prix moyen agneaux circuit long</t>
  </si>
  <si>
    <t>Coût de production total</t>
  </si>
  <si>
    <t xml:space="preserve">Alimentation achetée  </t>
  </si>
  <si>
    <t xml:space="preserve">Concentrés et minéraux  </t>
  </si>
  <si>
    <t xml:space="preserve">Fourrages et mise en pension  </t>
  </si>
  <si>
    <t xml:space="preserve">Approvisionnement SFPO </t>
  </si>
  <si>
    <t xml:space="preserve">Engrais et amendements  </t>
  </si>
  <si>
    <t xml:space="preserve">Semences  </t>
  </si>
  <si>
    <t xml:space="preserve">Autres charges végétales  </t>
  </si>
  <si>
    <t xml:space="preserve">Frais d’élevage  </t>
  </si>
  <si>
    <t xml:space="preserve">Frais vétérinaires  </t>
  </si>
  <si>
    <t>Autres frais d'élevage</t>
  </si>
  <si>
    <t>Mécanisation</t>
  </si>
  <si>
    <t xml:space="preserve">Carburants et lubrifiants  </t>
  </si>
  <si>
    <t xml:space="preserve">Entretien du matériel  </t>
  </si>
  <si>
    <t xml:space="preserve">Petits matériels, crédit bail  </t>
  </si>
  <si>
    <t>Bâtiments</t>
  </si>
  <si>
    <t xml:space="preserve">Eau  </t>
  </si>
  <si>
    <t xml:space="preserve">Electricité et gaz  </t>
  </si>
  <si>
    <t xml:space="preserve">Entretien et location des bâtiments  </t>
  </si>
  <si>
    <t xml:space="preserve">Bâtiments et installations  </t>
  </si>
  <si>
    <t>Protection des animaux</t>
  </si>
  <si>
    <t>Matériel de protection</t>
  </si>
  <si>
    <t xml:space="preserve">Frais divers de gestion  </t>
  </si>
  <si>
    <t xml:space="preserve">Transport, assurances, frais de gestion  </t>
  </si>
  <si>
    <t xml:space="preserve">Foncier et capital  </t>
  </si>
  <si>
    <t xml:space="preserve">Fermage et frais fonciers  </t>
  </si>
  <si>
    <t xml:space="preserve">Frais financiers  </t>
  </si>
  <si>
    <t xml:space="preserve">Travail  </t>
  </si>
  <si>
    <t xml:space="preserve">Salaires et charges salariales  </t>
  </si>
  <si>
    <t>Rémunération du travail exploitant  (2 SMIC brut)</t>
  </si>
  <si>
    <t xml:space="preserve">Produits de l’atelier  </t>
  </si>
  <si>
    <t xml:space="preserve">Prix des agneaux  </t>
  </si>
  <si>
    <t xml:space="preserve">Autres produits  </t>
  </si>
  <si>
    <t xml:space="preserve">Aides affectées  </t>
  </si>
  <si>
    <t>Prix de revient</t>
  </si>
  <si>
    <t>Poids carcasse total</t>
  </si>
  <si>
    <t>Productivité pondérale</t>
  </si>
  <si>
    <t>Rémunération permise par les produits en kilo carcasse</t>
  </si>
  <si>
    <t>Rémunération permise par les produits en nombre de SMIC</t>
  </si>
  <si>
    <t>Produit viande/EMP</t>
  </si>
  <si>
    <t>Frais achat animaux/EMP</t>
  </si>
  <si>
    <t>Variation de stock/EMP</t>
  </si>
  <si>
    <t>Vente de fourrage/EMP</t>
  </si>
  <si>
    <t>Autres produits ovins/EMP</t>
  </si>
  <si>
    <t>Aides couplés/EMP</t>
  </si>
  <si>
    <t>Aide ovine/EMP</t>
  </si>
  <si>
    <t>Aide légumineuse/EMP</t>
  </si>
  <si>
    <t>Produit ovin (hors aides)/EMP</t>
  </si>
  <si>
    <t>Produit ovin totale/EMP</t>
  </si>
  <si>
    <t>Frais d'alimentation/EMP</t>
  </si>
  <si>
    <t>Frais d'élevage/EMP</t>
  </si>
  <si>
    <t>Frais de vétérinaire/EMP</t>
  </si>
  <si>
    <t>Travaux par tiers/EMP</t>
  </si>
  <si>
    <t>Frais de transformation/EMP</t>
  </si>
  <si>
    <t>Frais de commercialisation/EMP</t>
  </si>
  <si>
    <t>Frais de SFP/EMP</t>
  </si>
  <si>
    <t>Charge op. ovine/EMP</t>
  </si>
  <si>
    <t>Solde alimentaire/EMP</t>
  </si>
  <si>
    <t>ANALYSE</t>
  </si>
  <si>
    <t>EVOLUTION DE L'EFFECTIF</t>
  </si>
  <si>
    <t>BILAN DES VENTES</t>
  </si>
  <si>
    <t>BILAN DES STOCKS ET CONSOMMATIONS</t>
  </si>
  <si>
    <t>MARGE BRUTE DE L'ATELIER OVIN</t>
  </si>
  <si>
    <t>CHARGES DE STRUCTURE</t>
  </si>
  <si>
    <t>MARGES BRUTES GRANDES CULTURES</t>
  </si>
  <si>
    <t>BILAN ECONOMIQUE</t>
  </si>
  <si>
    <t>EVOLUTION DES RESULTATS TECHNICO-ECONOMIQUES</t>
  </si>
  <si>
    <t>Bilan technico-économique</t>
  </si>
  <si>
    <t>Poids</t>
  </si>
  <si>
    <t>Prix/kg</t>
  </si>
  <si>
    <t>Prix/Agx</t>
  </si>
  <si>
    <t>Durée
(jours)</t>
  </si>
  <si>
    <t xml:space="preserve">Produit </t>
  </si>
  <si>
    <t>Margre brute ovine</t>
  </si>
  <si>
    <t>sept.</t>
  </si>
  <si>
    <t>nov.</t>
  </si>
  <si>
    <t>déc.</t>
  </si>
  <si>
    <t xml:space="preserve">Culture </t>
  </si>
  <si>
    <t>Production</t>
  </si>
  <si>
    <t>Marge brute</t>
  </si>
  <si>
    <t>Références</t>
  </si>
  <si>
    <t>Evolution</t>
  </si>
  <si>
    <t>Vente agneaux</t>
  </si>
  <si>
    <t>Part</t>
  </si>
  <si>
    <t xml:space="preserve">Poids (kgc) </t>
  </si>
  <si>
    <t>€/kg</t>
  </si>
  <si>
    <t>€/tête</t>
  </si>
  <si>
    <t>Produit ovin /EMP</t>
  </si>
  <si>
    <t>Ventes</t>
  </si>
  <si>
    <t>Conso. hors ovin</t>
  </si>
  <si>
    <t>Conso. Ovin</t>
  </si>
  <si>
    <t>Agneaux vendus</t>
  </si>
  <si>
    <t xml:space="preserve">Agneaux autoconsommés </t>
  </si>
  <si>
    <t>Autre marge brute</t>
  </si>
  <si>
    <t xml:space="preserve">UMO </t>
  </si>
  <si>
    <t>Lourd label</t>
  </si>
  <si>
    <t>Adultes vendus</t>
  </si>
  <si>
    <t>Lourd adret</t>
  </si>
  <si>
    <t>Achats d'animaux</t>
  </si>
  <si>
    <t>Autre produit ovin</t>
  </si>
  <si>
    <t>Taux de renouvellement (%)</t>
  </si>
  <si>
    <t>Agnelles  gardées</t>
  </si>
  <si>
    <t>Lourd standard</t>
  </si>
  <si>
    <t>Charge totale (hors ammortissement et frais financier)</t>
  </si>
  <si>
    <t>Part d'achat (%)</t>
  </si>
  <si>
    <t>Lourd bio</t>
  </si>
  <si>
    <t>Petit matériel et crédit bail</t>
  </si>
  <si>
    <t>Taux de mise-bas (%)</t>
  </si>
  <si>
    <t xml:space="preserve">Campagne </t>
  </si>
  <si>
    <t>Estive / Pension</t>
  </si>
  <si>
    <t>Traveaux par tiers, frais de CUMA</t>
  </si>
  <si>
    <t>Marge brute Total</t>
  </si>
  <si>
    <t>Taux de prolificité (%)</t>
  </si>
  <si>
    <t>Variation stock agneaux</t>
  </si>
  <si>
    <t>Produit animaux</t>
  </si>
  <si>
    <t>Carburant</t>
  </si>
  <si>
    <t>Taux de mortalité (%)</t>
  </si>
  <si>
    <t>dont prédation</t>
  </si>
  <si>
    <t>Variation de stock reproducteurs</t>
  </si>
  <si>
    <t>Taux de productivité numérique (%)</t>
  </si>
  <si>
    <t>Céréales (t)</t>
  </si>
  <si>
    <t>Fourrage consommé (kg/EMP)</t>
  </si>
  <si>
    <t>CARACTERISTIQUES</t>
  </si>
  <si>
    <t>RESULTATS PRINCIPAUX</t>
  </si>
  <si>
    <t>Identification, GDS, autre cotisation</t>
  </si>
  <si>
    <t>Aides / Produit total</t>
  </si>
  <si>
    <t>Autonomie fourragère massique (%)</t>
  </si>
  <si>
    <t>Aides</t>
  </si>
  <si>
    <t>Céréales et concentrés consommés (kg/EMP)</t>
  </si>
  <si>
    <t>Aliments (t)</t>
  </si>
  <si>
    <t>Charges ovines /EMP</t>
  </si>
  <si>
    <t>Autonomie massique céréales et concentrés (%)</t>
  </si>
  <si>
    <t>Coût de la ration (€/EMP)</t>
  </si>
  <si>
    <t>UMO total</t>
  </si>
  <si>
    <t>Votre exploitation</t>
  </si>
  <si>
    <t>Cas-type</t>
  </si>
  <si>
    <t xml:space="preserve">  Auto-renouv</t>
  </si>
  <si>
    <t xml:space="preserve"> Auto-conso.</t>
  </si>
  <si>
    <t>Prix moyen de l'agneau (€)</t>
  </si>
  <si>
    <t>Frais SFP</t>
  </si>
  <si>
    <t>Poids moyen carcasse agneaux lourd (kgc)</t>
  </si>
  <si>
    <t>Taux de mise-bas</t>
  </si>
  <si>
    <t>Indemnités animales</t>
  </si>
  <si>
    <t>Charge sociale</t>
  </si>
  <si>
    <t>Charge de structure (hors amortissements)</t>
  </si>
  <si>
    <t>% agneaux labélisé (sisteron et adret)</t>
  </si>
  <si>
    <t xml:space="preserve">SAU </t>
  </si>
  <si>
    <t>SFP ovine</t>
  </si>
  <si>
    <t>Produit ovin hors aides</t>
  </si>
  <si>
    <t>Frais transformation</t>
  </si>
  <si>
    <t>Salaire</t>
  </si>
  <si>
    <t>Produit ovin hors primes (€/ EMP)</t>
  </si>
  <si>
    <t>Charges opérationnelles (€/ EMP)</t>
  </si>
  <si>
    <t>Coûts de la ration</t>
  </si>
  <si>
    <t>Conso./individu</t>
  </si>
  <si>
    <t>Coût/individus</t>
  </si>
  <si>
    <t>Coût/kgc
agneaux</t>
  </si>
  <si>
    <t>Marge brute hors primes (€/ EMP)</t>
  </si>
  <si>
    <t>Mortalité agneaux</t>
  </si>
  <si>
    <t>MARGES BRUTES AUTRES ATELIERS</t>
  </si>
  <si>
    <t>BILAN DES AIDES</t>
  </si>
  <si>
    <t>Produit ovin total (€/ EMP)</t>
  </si>
  <si>
    <t>Nombre de brebis par bélier</t>
  </si>
  <si>
    <t>Marge brute ovine  (€/ EMP)</t>
  </si>
  <si>
    <t>Productivité numérique</t>
  </si>
  <si>
    <t>Agneaux</t>
  </si>
  <si>
    <t>Céréale</t>
  </si>
  <si>
    <t>Marge brute autre activié (€)</t>
  </si>
  <si>
    <t>Marge brute totale (€)</t>
  </si>
  <si>
    <t>Taux de certification label "Sisteron"</t>
  </si>
  <si>
    <t>Aliment</t>
  </si>
  <si>
    <t>Charges de structure totale (€)</t>
  </si>
  <si>
    <t>Autres atelier</t>
  </si>
  <si>
    <t>Marge brut</t>
  </si>
  <si>
    <t>Dont ammortissements (€)</t>
  </si>
  <si>
    <t>Poids moyen agneaux lourds</t>
  </si>
  <si>
    <t>BILAN DES AGNELAGES</t>
  </si>
  <si>
    <t>Frais financier et annuité (€)</t>
  </si>
  <si>
    <t>Aides découplés (€)</t>
  </si>
  <si>
    <t>Prix moyen de l'agneau</t>
  </si>
  <si>
    <t>Léger</t>
  </si>
  <si>
    <t xml:space="preserve">Nombre </t>
  </si>
  <si>
    <t xml:space="preserve">Montant </t>
  </si>
  <si>
    <t>Annuités</t>
  </si>
  <si>
    <t>Excèdent brut d'exploitation (€)</t>
  </si>
  <si>
    <t>Race béliers</t>
  </si>
  <si>
    <t>Résultat courant (€)</t>
  </si>
  <si>
    <t>Foin /EMP</t>
  </si>
  <si>
    <t>Période</t>
  </si>
  <si>
    <t xml:space="preserve">Taux de mise bas </t>
  </si>
  <si>
    <t>Prolif.</t>
  </si>
  <si>
    <t>Mort.</t>
  </si>
  <si>
    <t>Producti.</t>
  </si>
  <si>
    <t>Maigre</t>
  </si>
  <si>
    <t>Taxes et impôts</t>
  </si>
  <si>
    <t>Revenu disponible par UMO (€)</t>
  </si>
  <si>
    <t xml:space="preserve">Charges de structure </t>
  </si>
  <si>
    <t>Aide / Produit (%)</t>
  </si>
  <si>
    <t>Type de système</t>
  </si>
  <si>
    <t>Concentrés /EMP</t>
  </si>
  <si>
    <t>Tardon</t>
  </si>
  <si>
    <t>Produit ovin total</t>
  </si>
  <si>
    <t>Charges ovines totales</t>
  </si>
  <si>
    <t>Marge brute ovine /EMP</t>
  </si>
  <si>
    <t>EBE / produit (%)</t>
  </si>
  <si>
    <t>Revenu disponible/UMO</t>
  </si>
  <si>
    <t>Annuité / EBE (%)</t>
  </si>
  <si>
    <t>Produit ovin hors prime/ EMP</t>
  </si>
  <si>
    <t>Jeune repro.</t>
  </si>
  <si>
    <t>Total (EMP)</t>
  </si>
  <si>
    <t>Amortissements</t>
  </si>
  <si>
    <t>Charges opérationnelles / EMP</t>
  </si>
  <si>
    <t>Amortissement</t>
  </si>
  <si>
    <t>TOTAL AGNEAUX</t>
  </si>
  <si>
    <t>Total marges autres ateliers</t>
  </si>
  <si>
    <t>Marge brute ovine hors prime / EMP</t>
  </si>
  <si>
    <t>MARGE BRUTE OVINE HORS AIDES</t>
  </si>
  <si>
    <t>=</t>
  </si>
  <si>
    <t>/EMP</t>
  </si>
  <si>
    <t>Amortissement bâtiment</t>
  </si>
  <si>
    <t>Brebis réformées</t>
  </si>
  <si>
    <t>MARGE BRUTE OVINE TOTALE</t>
  </si>
  <si>
    <t>Revenu disponible /UMO</t>
  </si>
  <si>
    <t>Résumer du bilan technico-économique</t>
  </si>
  <si>
    <t>Références (2019)</t>
  </si>
  <si>
    <t>MO</t>
  </si>
  <si>
    <t>Poids moyen carcasse agneaux lourd</t>
  </si>
  <si>
    <t>% agneaux payés label</t>
  </si>
  <si>
    <t>Produit ovin / EMP</t>
  </si>
  <si>
    <t>Marge brute ovine / EMP</t>
  </si>
  <si>
    <t>Marge brute autre activié</t>
  </si>
  <si>
    <t>Charges de structure</t>
  </si>
  <si>
    <t>Excèdent brut d'exploitation</t>
  </si>
  <si>
    <t>Revenu disponible par UMO</t>
  </si>
  <si>
    <t>EBE / produit</t>
  </si>
  <si>
    <t>Bilan coût de production</t>
  </si>
  <si>
    <t>Achat de reproducteur</t>
  </si>
  <si>
    <t>Coordonnées</t>
  </si>
  <si>
    <t>MO exploitant</t>
  </si>
  <si>
    <t>MO salarié</t>
  </si>
  <si>
    <t>MO bénévole</t>
  </si>
  <si>
    <t>Typologie</t>
  </si>
  <si>
    <t>Système d'exploitation régional</t>
  </si>
  <si>
    <t>Production animal ovin</t>
  </si>
  <si>
    <t>Surface et parcellaire</t>
  </si>
  <si>
    <t>Surface totale</t>
  </si>
  <si>
    <t>Surface labourable</t>
  </si>
  <si>
    <t>Surface non labourable récoltable</t>
  </si>
  <si>
    <t>Cheptel</t>
  </si>
  <si>
    <t>début</t>
  </si>
  <si>
    <t>fin</t>
  </si>
  <si>
    <t>Agnelle</t>
  </si>
  <si>
    <t xml:space="preserve">Bélier </t>
  </si>
  <si>
    <t>Pension surface pastorale</t>
  </si>
  <si>
    <t>estive/hivernage</t>
  </si>
  <si>
    <t>Nombre d'animaux</t>
  </si>
  <si>
    <t>Assolement</t>
  </si>
  <si>
    <t>Voire onglet exploitation et grande culture</t>
  </si>
  <si>
    <t>Conduite fourrage et culture</t>
  </si>
  <si>
    <t>Engrais SFPO</t>
  </si>
  <si>
    <t>Semence achetée SFPO</t>
  </si>
  <si>
    <t>Fourniture pour fourrage SFPO</t>
  </si>
  <si>
    <t>Frais d'irrigation SFPO</t>
  </si>
  <si>
    <t>Céréale voir onglet grande culture</t>
  </si>
  <si>
    <t>Récolte des fourrages</t>
  </si>
  <si>
    <t>Stock début foin</t>
  </si>
  <si>
    <t>Achat foin quantité</t>
  </si>
  <si>
    <t>Achat foin montant</t>
  </si>
  <si>
    <t>Vente foin quantité</t>
  </si>
  <si>
    <t>Vente foin montant</t>
  </si>
  <si>
    <t>Stock fin foin</t>
  </si>
  <si>
    <t>Stock début paille</t>
  </si>
  <si>
    <t>Récolte paille</t>
  </si>
  <si>
    <t>Achat paille quantité</t>
  </si>
  <si>
    <t>Achat paille montant</t>
  </si>
  <si>
    <t>Vente paille quantité</t>
  </si>
  <si>
    <t>Vente paille montant</t>
  </si>
  <si>
    <t>Stock fin paille</t>
  </si>
  <si>
    <t xml:space="preserve">Stock début concentrés </t>
  </si>
  <si>
    <t>Achat concentrés quantité</t>
  </si>
  <si>
    <t>Achat concentrés montant</t>
  </si>
  <si>
    <t>Stock fin concentrés</t>
  </si>
  <si>
    <t>Achat CMV quantité</t>
  </si>
  <si>
    <t>Achat CMV montant</t>
  </si>
  <si>
    <t>Achat céréale quantité</t>
  </si>
  <si>
    <t>Achat céréale montant</t>
  </si>
  <si>
    <t>Achat poudre de lait quantité</t>
  </si>
  <si>
    <t>Achat poudre de lait montant</t>
  </si>
  <si>
    <t>Production de viande</t>
  </si>
  <si>
    <t>Produit viande vendu</t>
  </si>
  <si>
    <t>Produit viande autoconsommé</t>
  </si>
  <si>
    <t>Animaux achetés</t>
  </si>
  <si>
    <t>Variation d'inventaire</t>
  </si>
  <si>
    <t>Montant total</t>
  </si>
  <si>
    <t>Poids total</t>
  </si>
  <si>
    <t>Agneaux autoconsommée</t>
  </si>
  <si>
    <t>Brebis achetées</t>
  </si>
  <si>
    <t>Agnelles achetées</t>
  </si>
  <si>
    <t>Béliers achetés</t>
  </si>
  <si>
    <t>Reproduction</t>
  </si>
  <si>
    <t>Agneaux mort après sevrage</t>
  </si>
  <si>
    <t>Agneaux renouvellement</t>
  </si>
  <si>
    <t>Brebis morte</t>
  </si>
  <si>
    <t>Bélier mort</t>
  </si>
  <si>
    <t>Nombre DPB</t>
  </si>
  <si>
    <t>Prix moyen DPB</t>
  </si>
  <si>
    <t>Nombre ha redistributif</t>
  </si>
  <si>
    <t>Prix moyen redistributif</t>
  </si>
  <si>
    <t>Nombre ha écorégime</t>
  </si>
  <si>
    <t>Prix moyen écorégime</t>
  </si>
  <si>
    <t>Aide JA</t>
  </si>
  <si>
    <t xml:space="preserve">ICHN </t>
  </si>
  <si>
    <t>MAEC</t>
  </si>
  <si>
    <t>Aide ovine nombre</t>
  </si>
  <si>
    <t>Aide ovine prix moyen</t>
  </si>
  <si>
    <t>Aides légumineuses ha</t>
  </si>
  <si>
    <t>Aides prix moyen</t>
  </si>
  <si>
    <t>Laine quantité</t>
  </si>
  <si>
    <t>Laine montant</t>
  </si>
  <si>
    <t>Fumier quantité</t>
  </si>
  <si>
    <t>Fumier montant</t>
  </si>
  <si>
    <t>Produit autre atelier</t>
  </si>
  <si>
    <t>Charges opérationnelles</t>
  </si>
  <si>
    <t>Animales</t>
  </si>
  <si>
    <t>Totalité des concentrés</t>
  </si>
  <si>
    <t>Concentrés prélevés</t>
  </si>
  <si>
    <t>Concentrés achetés</t>
  </si>
  <si>
    <t>Complément minéraux</t>
  </si>
  <si>
    <t>Poudre de lait</t>
  </si>
  <si>
    <t>Identification et GDS</t>
  </si>
  <si>
    <t>Frais divers</t>
  </si>
  <si>
    <t>Frais véto</t>
  </si>
  <si>
    <t>Achat de litière</t>
  </si>
  <si>
    <t>Pension et frais d'estive</t>
  </si>
  <si>
    <t>Taxes animales</t>
  </si>
  <si>
    <t>Végétal</t>
  </si>
  <si>
    <t>Surface non fourragère</t>
  </si>
  <si>
    <t>Main d'œuvre</t>
  </si>
  <si>
    <t>Charges sociales exploitant</t>
  </si>
  <si>
    <t>Salaire + charge employé</t>
  </si>
  <si>
    <t>Foncier</t>
  </si>
  <si>
    <t>Matériel</t>
  </si>
  <si>
    <t>Traveaux par tiers</t>
  </si>
  <si>
    <t>Carburant, lubrifiant</t>
  </si>
  <si>
    <t>Batiment</t>
  </si>
  <si>
    <t>Frais financier</t>
  </si>
  <si>
    <t>Intérêt emprunt LMT</t>
  </si>
  <si>
    <t>Frais financier court terme</t>
  </si>
  <si>
    <t>Autre charge</t>
  </si>
  <si>
    <t>Transport et déplacement</t>
  </si>
  <si>
    <t>Assurances</t>
  </si>
  <si>
    <t>Fourniture et divers</t>
  </si>
  <si>
    <t>Capital remboursé</t>
  </si>
  <si>
    <t>Energie</t>
  </si>
  <si>
    <t>Consommation électrique</t>
  </si>
  <si>
    <t>Fioul</t>
  </si>
  <si>
    <t>Gasoil routier</t>
  </si>
  <si>
    <t>Données régionales</t>
  </si>
  <si>
    <t>Equipement de protection</t>
  </si>
  <si>
    <t>Gardiennage</t>
  </si>
  <si>
    <t>Bilan GTE</t>
  </si>
  <si>
    <t>Total général</t>
  </si>
  <si>
    <t>Montant moyen</t>
  </si>
  <si>
    <t>Montant au kilo</t>
  </si>
  <si>
    <t>(Plusieurs éléments)</t>
  </si>
  <si>
    <t>Somme de Nombre</t>
  </si>
  <si>
    <t>Graphique marge brute ovine</t>
  </si>
  <si>
    <t>Calcul cout de production</t>
  </si>
  <si>
    <t>Somme de Poids carcasse</t>
  </si>
  <si>
    <t>Somme de Montant</t>
  </si>
  <si>
    <t>Charges courantes</t>
  </si>
  <si>
    <t xml:space="preserve">Achats de concentrés et minéraux  </t>
  </si>
  <si>
    <t xml:space="preserve">Achats de fourrages et mise en pension  </t>
  </si>
  <si>
    <t>UMO exploitant ovine</t>
  </si>
  <si>
    <t>UMO salarié ovine</t>
  </si>
  <si>
    <t>UGB ovin viande</t>
  </si>
  <si>
    <t>Part surface grande culture de vente</t>
  </si>
  <si>
    <t>Part surface grand culture ovin</t>
  </si>
  <si>
    <t>Part surface grand culture autre atelier</t>
  </si>
  <si>
    <t>Produits ovins</t>
  </si>
  <si>
    <t>Charges ovines</t>
  </si>
  <si>
    <t>Surface grande culture</t>
  </si>
  <si>
    <t xml:space="preserve">Mécanisation [hors amortissements]  </t>
  </si>
  <si>
    <t>Moyenne de Age moyen</t>
  </si>
  <si>
    <t>Étiquettes de colonnes</t>
  </si>
  <si>
    <t>Étiquettes de lignes</t>
  </si>
  <si>
    <t>Part surface culture fourragère autre atelier</t>
  </si>
  <si>
    <t>Produit atelier ovin</t>
  </si>
  <si>
    <t>Surface culture fourragère</t>
  </si>
  <si>
    <t xml:space="preserve">Achat petits matériels, crédit bail  </t>
  </si>
  <si>
    <t>Coût de production céréale</t>
  </si>
  <si>
    <t xml:space="preserve">Bâtiments [hors amortissements]  </t>
  </si>
  <si>
    <t>Charges opérationnelles ovines</t>
  </si>
  <si>
    <t>Part mécanisation ovin</t>
  </si>
  <si>
    <t>Coef méca atelier ovin</t>
  </si>
  <si>
    <t>Coef méca autre atelier animal</t>
  </si>
  <si>
    <t>Graphique prix de vente moyen</t>
  </si>
  <si>
    <t>Coef méca grande culture</t>
  </si>
  <si>
    <t>Prix de vente moyen</t>
  </si>
  <si>
    <t>Coef méca culture fourragère</t>
  </si>
  <si>
    <t xml:space="preserve">Transport assurances frais de gestion  </t>
  </si>
  <si>
    <t>Unité pondéré méca exploitation</t>
  </si>
  <si>
    <t>Unité pondéré méca atelier ovin</t>
  </si>
  <si>
    <t>Part batiment ovin</t>
  </si>
  <si>
    <t>Coef batiment atelier ovin</t>
  </si>
  <si>
    <t>Coef batiment autre atelier animal</t>
  </si>
  <si>
    <t>Coef batiment grande culture</t>
  </si>
  <si>
    <t>Coef batiment culture fourragère</t>
  </si>
  <si>
    <t>Unité pondéré batiment exploitation</t>
  </si>
  <si>
    <t>Unité pondéré batiment atelier ovin</t>
  </si>
  <si>
    <t>Part frais financier ovin</t>
  </si>
  <si>
    <t xml:space="preserve">Amortissements  </t>
  </si>
  <si>
    <t>Coef frais financier atelier ovin</t>
  </si>
  <si>
    <t xml:space="preserve">Matériel  </t>
  </si>
  <si>
    <t>Coef frais financier autre atelier animal</t>
  </si>
  <si>
    <t>Coef frais financier grande culture</t>
  </si>
  <si>
    <t xml:space="preserve">Rémunération du travail exploitant  </t>
  </si>
  <si>
    <t>Graphique résultat courant</t>
  </si>
  <si>
    <t>Coef frais financier culture fourragère</t>
  </si>
  <si>
    <t>Unité pondéré frais financier exploitation</t>
  </si>
  <si>
    <t>Marge brute autre activité</t>
  </si>
  <si>
    <t>Unité pondéré frais financier atelier ovin</t>
  </si>
  <si>
    <t>Part frais généraux ovin</t>
  </si>
  <si>
    <t>Charge de structure</t>
  </si>
  <si>
    <t>Coef frais généraux atelier ovin</t>
  </si>
  <si>
    <t>Total Somme de Nombre</t>
  </si>
  <si>
    <t>Charges financières</t>
  </si>
  <si>
    <t>Coef frais généraux autre atelier animal</t>
  </si>
  <si>
    <t>Total Somme de Poids carcasse</t>
  </si>
  <si>
    <t>Ammortissements</t>
  </si>
  <si>
    <t>Coef frais généraux grande culture</t>
  </si>
  <si>
    <t>Rémunération permise par les produits en €/kgc</t>
  </si>
  <si>
    <t>Total Somme de Montant</t>
  </si>
  <si>
    <t>Coef frais généraux culture fourragère</t>
  </si>
  <si>
    <t>Rémunération permise par les produits en nombre de SMIC/UMO exploitant ovin</t>
  </si>
  <si>
    <t>Unité pondéré frais généraux exploitation</t>
  </si>
  <si>
    <t>Unité pondéré frais généraux atelier ovin</t>
  </si>
  <si>
    <t>Graphique répartion agneaux par agnelage</t>
  </si>
  <si>
    <t>SMIC</t>
  </si>
  <si>
    <t>hiver</t>
  </si>
  <si>
    <t>printemps</t>
  </si>
  <si>
    <t>été</t>
  </si>
  <si>
    <t>automne</t>
  </si>
  <si>
    <t>Part surface ovine totale</t>
  </si>
  <si>
    <t>Poids agneaux carcasse totale</t>
  </si>
  <si>
    <t>Gardé</t>
  </si>
  <si>
    <t>Autoconsommé</t>
  </si>
  <si>
    <t>total</t>
  </si>
  <si>
    <t>Graphique charges de structures</t>
  </si>
  <si>
    <t>Charges de structures</t>
  </si>
  <si>
    <t>Graphique coût de production</t>
  </si>
  <si>
    <t>Coût de production</t>
  </si>
  <si>
    <t>Produit de l'atelier</t>
  </si>
  <si>
    <t>Graphique assolement</t>
  </si>
  <si>
    <t>Circuit long (teovin)</t>
  </si>
  <si>
    <t>vente directe (teovin)</t>
  </si>
  <si>
    <t>Adulte2</t>
  </si>
  <si>
    <t>(vide)</t>
  </si>
  <si>
    <t>Liste</t>
  </si>
  <si>
    <t>Type de mouvement</t>
  </si>
  <si>
    <t>Produit animal</t>
  </si>
  <si>
    <t>Oui</t>
  </si>
  <si>
    <t>Prix référence</t>
  </si>
  <si>
    <t>Vente carcasse</t>
  </si>
  <si>
    <t>Non</t>
  </si>
  <si>
    <t>Haut montagnard pluriactif</t>
  </si>
  <si>
    <t>Bergerie lourds dominants</t>
  </si>
  <si>
    <t>2 périodes d'agnelage par an</t>
  </si>
  <si>
    <t>Vente vifs</t>
  </si>
  <si>
    <t xml:space="preserve">Traditionnel transhumant spé montagne </t>
  </si>
  <si>
    <t>Herbe lourds dominants</t>
  </si>
  <si>
    <t>3 agnelages en 2 ans strict</t>
  </si>
  <si>
    <t>Clé de répartition des coût de productions (IDELE)</t>
  </si>
  <si>
    <t>Achat</t>
  </si>
  <si>
    <t>Montagnard spé fourrager</t>
  </si>
  <si>
    <t>Bergerie et herbe lourds dominants</t>
  </si>
  <si>
    <t>3 agnelages en 2 ans non systématique</t>
  </si>
  <si>
    <t>Alpes sud tendance pastorale</t>
  </si>
  <si>
    <t>Légers dominants</t>
  </si>
  <si>
    <t>Lutte permanente</t>
  </si>
  <si>
    <t>Frais généraux</t>
  </si>
  <si>
    <t>Main-D'œuvre</t>
  </si>
  <si>
    <t xml:space="preserve">Préalpes spé transhumant </t>
  </si>
  <si>
    <t>Maigres dominants</t>
  </si>
  <si>
    <t>1 Agnelage principal Printemps</t>
  </si>
  <si>
    <t>Céréale autoconsommé</t>
  </si>
  <si>
    <t>OV herbagers</t>
  </si>
  <si>
    <t>Préalpes spé sédentaire</t>
  </si>
  <si>
    <t>Reproducteurs</t>
  </si>
  <si>
    <t>2 Agnelage principal Eté</t>
  </si>
  <si>
    <t>OV pastoraux</t>
  </si>
  <si>
    <t>Préalpes diversifié</t>
  </si>
  <si>
    <t>3 Agnelage principal Automne</t>
  </si>
  <si>
    <t>OV fourrager</t>
  </si>
  <si>
    <t>Préalpes spé grand pastoral</t>
  </si>
  <si>
    <t>4 Agnelage principal Hiver</t>
  </si>
  <si>
    <t>OV AB</t>
  </si>
  <si>
    <t>Alpes maritime grand pastoral</t>
  </si>
  <si>
    <t>BV naisseur montagne</t>
  </si>
  <si>
    <t xml:space="preserve">Herbassier spé de plaine </t>
  </si>
  <si>
    <t>BV naisseur engraisseur montagne</t>
  </si>
  <si>
    <t>Basse provence diversifié</t>
  </si>
  <si>
    <t>Croisement boucher total</t>
  </si>
  <si>
    <t>BV montagne AB</t>
  </si>
  <si>
    <t>Croisement boucher partiel</t>
  </si>
  <si>
    <t>BL montagne</t>
  </si>
  <si>
    <t>Race pure</t>
  </si>
  <si>
    <t>BL montagne AB</t>
  </si>
  <si>
    <t>Autre conduite raciale</t>
  </si>
  <si>
    <t>OL livreur</t>
  </si>
  <si>
    <t>OL avec transformation</t>
  </si>
  <si>
    <t>Références Cas-types</t>
  </si>
  <si>
    <t>OL AB</t>
  </si>
  <si>
    <t>Caprins montagne</t>
  </si>
  <si>
    <t>Caprins avec transformation</t>
  </si>
  <si>
    <t>Caprins avec transformation AB</t>
  </si>
  <si>
    <t>Cheveaux de trait</t>
  </si>
  <si>
    <t>Autres équidés</t>
  </si>
  <si>
    <t>BL plaine</t>
  </si>
  <si>
    <t>BL avec robot d traite</t>
  </si>
  <si>
    <t>BL avec transformation</t>
  </si>
  <si>
    <t>BL plaine AB</t>
  </si>
  <si>
    <t>BV naisseur plaine</t>
  </si>
  <si>
    <t>BV naisseur engraiseur plaine</t>
  </si>
  <si>
    <t>BV JB à partir de veaux lait</t>
  </si>
  <si>
    <t xml:space="preserve">Poids moyen carcasse agneaux </t>
  </si>
  <si>
    <t>BV JB à partir de broutards</t>
  </si>
  <si>
    <t>BV boeuf laitier</t>
  </si>
  <si>
    <t xml:space="preserve">Produit ovin hors primes </t>
  </si>
  <si>
    <t>BV plaine AB</t>
  </si>
  <si>
    <t xml:space="preserve">Charges opérationnelles </t>
  </si>
  <si>
    <t>Caprins plaine</t>
  </si>
  <si>
    <t xml:space="preserve">Marge brute hors primes </t>
  </si>
  <si>
    <t>Aucun</t>
  </si>
  <si>
    <t>Grande culture montagne</t>
  </si>
  <si>
    <t xml:space="preserve">Marge brute ovine </t>
  </si>
  <si>
    <t>Grandes cultures plaine</t>
  </si>
  <si>
    <t>Grandes cultures plaine AB</t>
  </si>
  <si>
    <t>Produit ovin hors primes / EMP</t>
  </si>
  <si>
    <t>Cultures fourragère montagne</t>
  </si>
  <si>
    <t>Marge brute hors primes / EMP</t>
  </si>
  <si>
    <t>Cultures fourragères plaine</t>
  </si>
  <si>
    <t>Produit ovin total / EMP</t>
  </si>
  <si>
    <t>Marge brute ovine  / EMP</t>
  </si>
  <si>
    <t>Frais financier et annuité</t>
  </si>
  <si>
    <t xml:space="preserve">Revenu disponible </t>
  </si>
  <si>
    <t>"10"</t>
  </si>
  <si>
    <t>""KG""</t>
  </si>
  <si>
    <t>"0101"</t>
  </si>
  <si>
    <t>"KG"</t>
  </si>
  <si>
    <t>"0104"</t>
  </si>
  <si>
    <t>"0106"</t>
  </si>
  <si>
    <t>"0341"</t>
  </si>
  <si>
    <t>"0102"</t>
  </si>
  <si>
    <t>"0105"</t>
  </si>
  <si>
    <t>"0220"</t>
  </si>
  <si>
    <t>"0300"</t>
  </si>
  <si>
    <t>"104"</t>
  </si>
  <si>
    <t>"U"</t>
  </si>
  <si>
    <t>"0900"</t>
  </si>
  <si>
    <t>"14"</t>
  </si>
  <si>
    <t>"41"</t>
  </si>
  <si>
    <t>"50"</t>
  </si>
  <si>
    <t>"105"</t>
  </si>
  <si>
    <t>"110"</t>
  </si>
  <si>
    <t>"60"</t>
  </si>
  <si>
    <t>"61"</t>
  </si>
  <si>
    <t>"63"</t>
  </si>
  <si>
    <t>"64"</t>
  </si>
  <si>
    <t>"65"</t>
  </si>
  <si>
    <t>"66"</t>
  </si>
  <si>
    <t>"2910"</t>
  </si>
  <si>
    <t>"79"</t>
  </si>
  <si>
    <t>"81"</t>
  </si>
  <si>
    <t>"80"</t>
  </si>
  <si>
    <t>"83"</t>
  </si>
  <si>
    <t>"85"</t>
  </si>
  <si>
    <t>"2850"</t>
  </si>
  <si>
    <t>"24"</t>
  </si>
  <si>
    <t>"T"</t>
  </si>
  <si>
    <t>"40"</t>
  </si>
  <si>
    <t>Numéro exploitation (N° EDE)</t>
  </si>
  <si>
    <t>Code produit acheté</t>
  </si>
  <si>
    <t>Quantité</t>
  </si>
  <si>
    <t>Unité</t>
  </si>
  <si>
    <t>"</t>
  </si>
  <si>
    <t>01</t>
  </si>
  <si>
    <t>"05004054"</t>
  </si>
  <si>
    <t>20230101</t>
  </si>
  <si>
    <t>"C"</t>
  </si>
  <si>
    <t>"1101"</t>
  </si>
  <si>
    <t>"1102"</t>
  </si>
  <si>
    <t>"101"</t>
  </si>
  <si>
    <t>"102"</t>
  </si>
  <si>
    <t>"1132"</t>
  </si>
  <si>
    <t>"103"</t>
  </si>
  <si>
    <t>"1152"</t>
  </si>
  <si>
    <t>"1162"</t>
  </si>
  <si>
    <t>"106"</t>
  </si>
  <si>
    <t>"23"</t>
  </si>
  <si>
    <t>"1202"</t>
  </si>
  <si>
    <t>"1210"</t>
  </si>
  <si>
    <t>"P"</t>
  </si>
  <si>
    <t>"1302"</t>
  </si>
  <si>
    <t>"241"</t>
  </si>
  <si>
    <t>"20"</t>
  </si>
  <si>
    <t>"1410"</t>
  </si>
  <si>
    <t>"22"</t>
  </si>
  <si>
    <t>"1510"</t>
  </si>
  <si>
    <t>"1511"</t>
  </si>
  <si>
    <t>"1512"</t>
  </si>
  <si>
    <t>"1513"</t>
  </si>
  <si>
    <t>"1520"</t>
  </si>
  <si>
    <t>"26"</t>
  </si>
  <si>
    <t>"27"</t>
  </si>
  <si>
    <t>"30"</t>
  </si>
  <si>
    <t>"31"</t>
  </si>
  <si>
    <t>"33"</t>
  </si>
  <si>
    <t>"32"</t>
  </si>
  <si>
    <t>"34"</t>
  </si>
  <si>
    <t>"42"</t>
  </si>
  <si>
    <t>"3120"</t>
  </si>
  <si>
    <t>"3121"</t>
  </si>
  <si>
    <t>"3130"</t>
  </si>
  <si>
    <t>"3202"</t>
  </si>
  <si>
    <t>"43"</t>
  </si>
  <si>
    <t>"3220"</t>
  </si>
  <si>
    <t>"3221"</t>
  </si>
  <si>
    <t>"3230"</t>
  </si>
  <si>
    <t>Code produit vendu</t>
  </si>
  <si>
    <t>Mode commercialisation</t>
  </si>
  <si>
    <t>"Hiver"</t>
  </si>
  <si>
    <t>"Printemps"</t>
  </si>
  <si>
    <t>"Eté"</t>
  </si>
  <si>
    <t>"Automne"</t>
  </si>
  <si>
    <t>"Stock"</t>
  </si>
  <si>
    <t>Code Lot</t>
  </si>
  <si>
    <t>Libelle lot</t>
  </si>
  <si>
    <t>Mois Année Agnelage début du lot</t>
  </si>
  <si>
    <t>Mois Année Agnelage fin du lot</t>
  </si>
  <si>
    <t>Catégorie Animaux</t>
  </si>
  <si>
    <t>Mode reproduction</t>
  </si>
  <si>
    <t>Effectif mis en lutte</t>
  </si>
  <si>
    <t>Nombre de mise bas</t>
  </si>
  <si>
    <t>Nombre femelles avortées</t>
  </si>
  <si>
    <t>Nombre agneaux nés</t>
  </si>
  <si>
    <t>Nombre agneaux morts</t>
  </si>
  <si>
    <t>PRINTEMPS</t>
  </si>
  <si>
    <t>Lutte estive</t>
  </si>
  <si>
    <t>AUTOMNE</t>
  </si>
  <si>
    <t>"70"</t>
  </si>
  <si>
    <t>"90"</t>
  </si>
  <si>
    <t>Code inventaire</t>
  </si>
  <si>
    <t>Effectif début</t>
  </si>
  <si>
    <t>Prix début</t>
  </si>
  <si>
    <t>Valeur Inventaire début</t>
  </si>
  <si>
    <t>Effectif fin</t>
  </si>
  <si>
    <t>Prix fin</t>
  </si>
  <si>
    <t>Valeur Inventaire fin</t>
  </si>
  <si>
    <t>Variation Inventaire</t>
  </si>
  <si>
    <t>Agneau autoconsommé</t>
  </si>
  <si>
    <t>DESCRIPTION DE L'EXPLOITATION</t>
  </si>
  <si>
    <t>GROUPEMENT PASTORAL</t>
  </si>
  <si>
    <t>Code postal</t>
  </si>
  <si>
    <t>réalisé par:</t>
  </si>
  <si>
    <t>Dans le cadre de:</t>
  </si>
  <si>
    <t>Avec les financements de:</t>
  </si>
  <si>
    <t>En avril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</si>
</sst>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 #,##0.00\ &quot;€&quot;_-;\-* #,##0.00\ &quot;€&quot;_-;_-* &quot;-&quot;??\ &quot;€&quot;_-;_-@_-"/>
    <numFmt numFmtId="164" formatCode="_-* #,##0.00\ _€_-;\-* #,##0.00\ _€_-;_-* &quot;-&quot;??\ _€_-;_-@_-"/>
    <numFmt numFmtId="165" formatCode="0.0"/>
    <numFmt numFmtId="166" formatCode="#&quot;&quot;"/>
    <numFmt numFmtId="167" formatCode="#,##0\ &quot;€&quot;"/>
    <numFmt numFmtId="168" formatCode="#,##0.00\ &quot;€&quot;"/>
    <numFmt numFmtId="169" formatCode="0&quot; &quot;&quot;ha&quot;"/>
    <numFmt numFmtId="170" formatCode="0&quot; &quot;&quot;kg&quot;"/>
    <numFmt numFmtId="171" formatCode="_-* #,##0\ &quot;€&quot;_-;\-* #,##0\ &quot;€&quot;_-;_-* &quot;-&quot;??\ &quot;€&quot;_-;_-@_-"/>
    <numFmt numFmtId="172" formatCode="_-* #,##0\ [$€-40C]_-;\-* #,##0\ [$€-40C]_-;_-* &quot;-&quot;??\ [$€-40C]_-;_-@_-"/>
    <numFmt numFmtId="173" formatCode="0.0&quot; &quot;&quot;kg&quot;"/>
    <numFmt numFmtId="174" formatCode="_-* #,##0.00\ [$€-40C]_-;\-* #,##0.00\ [$€-40C]_-;_-* &quot;-&quot;??\ [$€-40C]_-;_-@_-"/>
    <numFmt numFmtId="175" formatCode="00000000"/>
    <numFmt numFmtId="176" formatCode="&quot;0&quot;"/>
    <numFmt numFmtId="177" formatCode="000"/>
    <numFmt numFmtId="178" formatCode="yyyymm"/>
    <numFmt numFmtId="179" formatCode="0.0&quot; &quot;&quot;kgc&quot;"/>
    <numFmt numFmtId="180" formatCode="_-* #,##0.0\ &quot;€&quot;_-;\-* #,##0.0\ &quot;€&quot;_-;_-* &quot;-&quot;??\ &quot;€&quot;_-;_-@_-"/>
    <numFmt numFmtId="181" formatCode="_-* #,##0.0\ &quot;€&quot;_-;\-* #,##0.0\ &quot;€&quot;_-;_-* &quot;-&quot;?\ &quot;€&quot;_-;_-@_-"/>
    <numFmt numFmtId="182" formatCode="#,##0.0\ &quot;€&quot;"/>
  </numFmts>
  <fonts count="48" x14ac:knownFonts="1">
    <font>
      <sz val="11"/>
      <color theme="1"/>
      <name val="Gill Sans MT"/>
      <family val="2"/>
      <scheme val="minor"/>
    </font>
    <font>
      <sz val="11"/>
      <color theme="0"/>
      <name val="Gill Sans MT"/>
      <family val="2"/>
      <scheme val="minor"/>
    </font>
    <font>
      <sz val="11"/>
      <color theme="1"/>
      <name val="Gill Sans MT"/>
      <family val="2"/>
      <scheme val="minor"/>
    </font>
    <font>
      <b/>
      <sz val="11"/>
      <color theme="1"/>
      <name val="Gill Sans MT"/>
      <family val="2"/>
      <scheme val="minor"/>
    </font>
    <font>
      <b/>
      <sz val="20"/>
      <color theme="1"/>
      <name val="Gill Sans MT"/>
      <family val="2"/>
      <scheme val="minor"/>
    </font>
    <font>
      <b/>
      <sz val="11"/>
      <color theme="0"/>
      <name val="Gill Sans MT"/>
      <family val="2"/>
      <scheme val="minor"/>
    </font>
    <font>
      <sz val="11"/>
      <name val="Gill Sans MT"/>
      <family val="2"/>
      <scheme val="minor"/>
    </font>
    <font>
      <sz val="11"/>
      <color theme="3"/>
      <name val="Gill Sans MT"/>
      <family val="2"/>
      <scheme val="minor"/>
    </font>
    <font>
      <sz val="10"/>
      <color theme="1"/>
      <name val="Gill Sans MT"/>
      <family val="2"/>
      <scheme val="minor"/>
    </font>
    <font>
      <sz val="9"/>
      <color theme="1"/>
      <name val="Gill Sans MT"/>
      <family val="2"/>
      <scheme val="minor"/>
    </font>
    <font>
      <sz val="8"/>
      <color theme="1"/>
      <name val="Gill Sans MT"/>
      <family val="2"/>
      <scheme val="minor"/>
    </font>
    <font>
      <b/>
      <sz val="12"/>
      <color theme="1"/>
      <name val="Gill Sans MT"/>
      <family val="2"/>
      <scheme val="minor"/>
    </font>
    <font>
      <b/>
      <sz val="14"/>
      <color theme="1"/>
      <name val="Gill Sans MT"/>
      <family val="2"/>
      <scheme val="minor"/>
    </font>
    <font>
      <b/>
      <sz val="12"/>
      <color theme="0"/>
      <name val="Gill Sans MT"/>
      <family val="2"/>
      <scheme val="minor"/>
    </font>
    <font>
      <sz val="14"/>
      <color theme="1"/>
      <name val="Gill Sans MT"/>
      <family val="2"/>
      <scheme val="minor"/>
    </font>
    <font>
      <b/>
      <sz val="16"/>
      <color theme="1"/>
      <name val="Gill Sans MT"/>
      <family val="2"/>
      <scheme val="minor"/>
    </font>
    <font>
      <sz val="12"/>
      <color theme="1"/>
      <name val="Gill Sans MT"/>
      <family val="2"/>
      <scheme val="minor"/>
    </font>
    <font>
      <sz val="16"/>
      <color theme="1"/>
      <name val="Gill Sans MT"/>
      <family val="2"/>
      <scheme val="minor"/>
    </font>
    <font>
      <sz val="18"/>
      <color theme="1"/>
      <name val="Gill Sans MT"/>
      <family val="2"/>
      <scheme val="minor"/>
    </font>
    <font>
      <sz val="20"/>
      <color theme="1"/>
      <name val="Gill Sans MT"/>
      <family val="2"/>
      <scheme val="minor"/>
    </font>
    <font>
      <b/>
      <sz val="10"/>
      <color theme="1"/>
      <name val="Gill Sans MT"/>
      <family val="2"/>
      <scheme val="minor"/>
    </font>
    <font>
      <sz val="11"/>
      <color rgb="FFFFFFFF"/>
      <name val="Gill Sans MT"/>
      <family val="2"/>
      <scheme val="minor"/>
    </font>
    <font>
      <b/>
      <sz val="11"/>
      <color rgb="FFFFFFFF"/>
      <name val="Gill Sans MT"/>
      <family val="2"/>
      <scheme val="minor"/>
    </font>
    <font>
      <sz val="20"/>
      <color theme="0"/>
      <name val="Gill Sans MT"/>
      <family val="2"/>
      <scheme val="minor"/>
    </font>
    <font>
      <sz val="16"/>
      <color theme="0"/>
      <name val="Gill Sans MT"/>
      <family val="2"/>
      <scheme val="minor"/>
    </font>
    <font>
      <i/>
      <sz val="8"/>
      <color theme="1"/>
      <name val="Gill Sans MT"/>
      <family val="2"/>
      <scheme val="minor"/>
    </font>
    <font>
      <sz val="10"/>
      <color rgb="FF31869B"/>
      <name val="Gill Sans MT"/>
      <family val="2"/>
      <scheme val="minor"/>
    </font>
    <font>
      <b/>
      <sz val="10"/>
      <color rgb="FF31869B"/>
      <name val="Gill Sans MT"/>
      <family val="2"/>
      <scheme val="minor"/>
    </font>
    <font>
      <b/>
      <sz val="18"/>
      <color theme="1"/>
      <name val="Gill Sans MT"/>
      <family val="2"/>
      <scheme val="minor"/>
    </font>
    <font>
      <b/>
      <sz val="11"/>
      <color rgb="FF000000"/>
      <name val="Gill Sans MT"/>
      <family val="2"/>
    </font>
    <font>
      <sz val="11"/>
      <color rgb="FF000000"/>
      <name val="Gill Sans MT"/>
      <family val="2"/>
    </font>
    <font>
      <sz val="11"/>
      <color rgb="FF000000"/>
      <name val="Gill Sans MT"/>
      <family val="2"/>
      <charset val="1"/>
    </font>
    <font>
      <sz val="9"/>
      <color rgb="FF000000"/>
      <name val="Gill Sans MT"/>
      <family val="2"/>
    </font>
    <font>
      <sz val="10"/>
      <name val="Arial"/>
      <family val="2"/>
    </font>
    <font>
      <sz val="10"/>
      <name val="MS Sans Serif"/>
      <family val="2"/>
    </font>
    <font>
      <sz val="12"/>
      <color rgb="FF0D0D0D"/>
      <name val="Gill Sans MT"/>
      <family val="2"/>
      <scheme val="minor"/>
    </font>
    <font>
      <sz val="10"/>
      <color rgb="FFFF0000"/>
      <name val="Arial"/>
      <family val="2"/>
    </font>
    <font>
      <sz val="12"/>
      <name val="Gill Sans MT"/>
      <family val="2"/>
      <scheme val="minor"/>
    </font>
    <font>
      <b/>
      <sz val="14"/>
      <color rgb="FF696969"/>
      <name val="Gill Sans MT"/>
      <family val="2"/>
      <scheme val="minor"/>
    </font>
    <font>
      <sz val="10"/>
      <color rgb="FF0D0D0D"/>
      <name val="PT Sans"/>
      <family val="2"/>
    </font>
    <font>
      <i/>
      <sz val="11"/>
      <color theme="1"/>
      <name val="Gill Sans MT"/>
      <family val="2"/>
      <scheme val="minor"/>
    </font>
    <font>
      <b/>
      <sz val="9"/>
      <color theme="1"/>
      <name val="Gill Sans MT"/>
      <family val="2"/>
      <scheme val="minor"/>
    </font>
    <font>
      <sz val="11"/>
      <color rgb="FFFF0000"/>
      <name val="Gill Sans MT"/>
      <family val="2"/>
      <scheme val="minor"/>
    </font>
    <font>
      <sz val="11"/>
      <color theme="8" tint="-0.249977111117893"/>
      <name val="Gill Sans MT"/>
      <family val="2"/>
      <scheme val="minor"/>
    </font>
    <font>
      <sz val="10"/>
      <name val="Gill Sans MT"/>
      <family val="2"/>
      <scheme val="minor"/>
    </font>
    <font>
      <sz val="8"/>
      <name val="Gill Sans MT"/>
      <family val="2"/>
      <scheme val="minor"/>
    </font>
    <font>
      <b/>
      <sz val="11"/>
      <name val="Gill Sans MT"/>
      <family val="2"/>
      <scheme val="minor"/>
    </font>
    <font>
      <b/>
      <sz val="8"/>
      <color theme="1"/>
      <name val="Gill Sans MT"/>
      <family val="2"/>
      <scheme val="minor"/>
    </font>
  </fonts>
  <fills count="62">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rgb="FFFFC000"/>
        <bgColor indexed="64"/>
      </patternFill>
    </fill>
    <fill>
      <patternFill patternType="solid">
        <fgColor theme="5"/>
        <bgColor indexed="64"/>
      </patternFill>
    </fill>
    <fill>
      <patternFill patternType="solid">
        <fgColor theme="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rgb="FFFFFFB3"/>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79998168889431442"/>
        <bgColor indexed="64"/>
      </patternFill>
    </fill>
    <fill>
      <patternFill patternType="solid">
        <fgColor theme="3"/>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6600"/>
        <bgColor indexed="64"/>
      </patternFill>
    </fill>
    <fill>
      <patternFill patternType="solid">
        <fgColor rgb="FF800000"/>
        <bgColor indexed="64"/>
      </patternFill>
    </fill>
    <fill>
      <patternFill patternType="solid">
        <fgColor rgb="FFFFCCFF"/>
        <bgColor indexed="64"/>
      </patternFill>
    </fill>
    <fill>
      <patternFill patternType="solid">
        <fgColor rgb="FF006699"/>
        <bgColor indexed="64"/>
      </patternFill>
    </fill>
    <fill>
      <patternFill patternType="solid">
        <fgColor rgb="FF66FF99"/>
        <bgColor indexed="64"/>
      </patternFill>
    </fill>
    <fill>
      <patternFill patternType="solid">
        <fgColor rgb="FF009999"/>
        <bgColor indexed="64"/>
      </patternFill>
    </fill>
    <fill>
      <patternFill patternType="solid">
        <fgColor rgb="FF66FFFF"/>
        <bgColor indexed="64"/>
      </patternFill>
    </fill>
    <fill>
      <patternFill patternType="solid">
        <fgColor rgb="FFFF66CC"/>
        <bgColor indexed="64"/>
      </patternFill>
    </fill>
    <fill>
      <patternFill patternType="solid">
        <fgColor rgb="FFD60093"/>
        <bgColor indexed="64"/>
      </patternFill>
    </fill>
    <fill>
      <patternFill patternType="solid">
        <fgColor rgb="FF80008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FFFEFB"/>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EEFE2"/>
        <bgColor indexed="64"/>
      </patternFill>
    </fill>
    <fill>
      <patternFill patternType="solid">
        <fgColor theme="8" tint="-0.249977111117893"/>
        <bgColor indexed="64"/>
      </patternFill>
    </fill>
    <fill>
      <patternFill patternType="solid">
        <fgColor rgb="FFFFCCCC"/>
        <bgColor indexed="64"/>
      </patternFill>
    </fill>
    <fill>
      <patternFill patternType="solid">
        <fgColor rgb="FF31869B"/>
        <bgColor indexed="64"/>
      </patternFill>
    </fill>
    <fill>
      <patternFill patternType="solid">
        <fgColor rgb="FFDAEEF3"/>
        <bgColor rgb="FF000000"/>
      </patternFill>
    </fill>
    <fill>
      <patternFill patternType="solid">
        <fgColor rgb="FF00B050"/>
        <bgColor indexed="64"/>
      </patternFill>
    </fill>
    <fill>
      <patternFill patternType="solid">
        <fgColor rgb="FFFFFFFF"/>
        <bgColor indexed="64"/>
      </patternFill>
    </fill>
    <fill>
      <patternFill patternType="solid">
        <fgColor rgb="FFE1F2FF"/>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FF0066"/>
        <bgColor indexed="64"/>
      </patternFill>
    </fill>
    <fill>
      <patternFill patternType="solid">
        <fgColor rgb="FF660033"/>
        <bgColor indexed="64"/>
      </patternFill>
    </fill>
    <fill>
      <patternFill patternType="solid">
        <fgColor rgb="FFFFFF99"/>
        <bgColor indexed="64"/>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rgb="FF0070C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rgb="FFFFFF66"/>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0" tint="-0.499984740745262"/>
        <bgColor indexed="64"/>
      </patternFill>
    </fill>
  </fills>
  <borders count="2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6"/>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right/>
      <top style="thin">
        <color theme="0"/>
      </top>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style="thin">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medium">
        <color indexed="64"/>
      </right>
      <top style="dashed">
        <color indexed="64"/>
      </top>
      <bottom style="dashed">
        <color indexed="64"/>
      </bottom>
      <diagonal/>
    </border>
    <border>
      <left/>
      <right/>
      <top style="thin">
        <color indexed="64"/>
      </top>
      <bottom style="thin">
        <color indexed="64"/>
      </bottom>
      <diagonal/>
    </border>
    <border>
      <left style="medium">
        <color indexed="64"/>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top style="thin">
        <color indexed="64"/>
      </top>
      <bottom style="medium">
        <color indexed="64"/>
      </bottom>
      <diagonal/>
    </border>
    <border>
      <left/>
      <right/>
      <top/>
      <bottom style="thin">
        <color theme="5"/>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
      <left style="thin">
        <color theme="5"/>
      </left>
      <right/>
      <top/>
      <bottom style="thin">
        <color theme="5"/>
      </bottom>
      <diagonal/>
    </border>
    <border>
      <left/>
      <right style="thin">
        <color theme="5"/>
      </right>
      <top/>
      <bottom style="thin">
        <color theme="5"/>
      </bottom>
      <diagonal/>
    </border>
    <border>
      <left/>
      <right style="thin">
        <color theme="5"/>
      </right>
      <top/>
      <bottom/>
      <diagonal/>
    </border>
    <border>
      <left style="thin">
        <color theme="5"/>
      </left>
      <right/>
      <top/>
      <bottom/>
      <diagonal/>
    </border>
    <border>
      <left/>
      <right/>
      <top/>
      <bottom style="double">
        <color theme="5"/>
      </bottom>
      <diagonal/>
    </border>
    <border>
      <left/>
      <right/>
      <top style="double">
        <color theme="5"/>
      </top>
      <bottom/>
      <diagonal/>
    </border>
    <border>
      <left style="thin">
        <color theme="5"/>
      </left>
      <right style="thin">
        <color theme="5"/>
      </right>
      <top style="thin">
        <color theme="5"/>
      </top>
      <bottom style="thin">
        <color theme="5"/>
      </bottom>
      <diagonal/>
    </border>
    <border>
      <left style="thin">
        <color indexed="64"/>
      </left>
      <right/>
      <top/>
      <bottom style="thin">
        <color indexed="64"/>
      </bottom>
      <diagonal/>
    </border>
    <border>
      <left style="thin">
        <color theme="5"/>
      </left>
      <right style="thin">
        <color theme="5"/>
      </right>
      <top/>
      <bottom style="thin">
        <color theme="5"/>
      </bottom>
      <diagonal/>
    </border>
    <border>
      <left style="thin">
        <color theme="5"/>
      </left>
      <right/>
      <top style="thin">
        <color theme="5"/>
      </top>
      <bottom style="thin">
        <color theme="5"/>
      </bottom>
      <diagonal/>
    </border>
    <border>
      <left/>
      <right style="thin">
        <color theme="5"/>
      </right>
      <top style="thin">
        <color theme="5"/>
      </top>
      <bottom style="thin">
        <color theme="5"/>
      </bottom>
      <diagonal/>
    </border>
    <border>
      <left/>
      <right/>
      <top style="thin">
        <color theme="5"/>
      </top>
      <bottom style="thin">
        <color theme="5"/>
      </bottom>
      <diagonal/>
    </border>
    <border>
      <left/>
      <right style="thick">
        <color theme="8" tint="-0.249977111117893"/>
      </right>
      <top/>
      <bottom/>
      <diagonal/>
    </border>
    <border>
      <left style="thin">
        <color theme="5"/>
      </left>
      <right style="thick">
        <color theme="8" tint="-0.249977111117893"/>
      </right>
      <top style="thin">
        <color theme="5"/>
      </top>
      <bottom style="thin">
        <color theme="5"/>
      </bottom>
      <diagonal/>
    </border>
    <border>
      <left style="thick">
        <color theme="8" tint="-0.249977111117893"/>
      </left>
      <right style="thick">
        <color theme="8" tint="-0.249977111117893"/>
      </right>
      <top style="thin">
        <color theme="5"/>
      </top>
      <bottom style="thin">
        <color theme="5"/>
      </bottom>
      <diagonal/>
    </border>
    <border>
      <left style="thick">
        <color theme="8" tint="-0.249977111117893"/>
      </left>
      <right style="thin">
        <color theme="5"/>
      </right>
      <top style="thin">
        <color theme="5"/>
      </top>
      <bottom style="thin">
        <color theme="5"/>
      </bottom>
      <diagonal/>
    </border>
    <border>
      <left style="medium">
        <color indexed="64"/>
      </left>
      <right style="thin">
        <color indexed="64"/>
      </right>
      <top style="dashed">
        <color indexed="64"/>
      </top>
      <bottom/>
      <diagonal/>
    </border>
    <border>
      <left style="thin">
        <color indexed="64"/>
      </left>
      <right style="thin">
        <color indexed="64"/>
      </right>
      <top style="dashed">
        <color indexed="64"/>
      </top>
      <bottom/>
      <diagonal/>
    </border>
    <border>
      <left style="medium">
        <color indexed="64"/>
      </left>
      <right style="medium">
        <color indexed="64"/>
      </right>
      <top style="thin">
        <color indexed="64"/>
      </top>
      <bottom/>
      <diagonal/>
    </border>
    <border>
      <left/>
      <right/>
      <top/>
      <bottom style="thin">
        <color indexed="64"/>
      </bottom>
      <diagonal/>
    </border>
    <border>
      <left style="thin">
        <color theme="5"/>
      </left>
      <right style="thick">
        <color theme="8" tint="-0.249977111117893"/>
      </right>
      <top/>
      <bottom style="thin">
        <color theme="5"/>
      </bottom>
      <diagonal/>
    </border>
    <border>
      <left style="thick">
        <color theme="8" tint="-0.249977111117893"/>
      </left>
      <right style="thick">
        <color theme="8" tint="-0.249977111117893"/>
      </right>
      <top/>
      <bottom style="thin">
        <color theme="5"/>
      </bottom>
      <diagonal/>
    </border>
    <border>
      <left style="thick">
        <color theme="8" tint="-0.249977111117893"/>
      </left>
      <right style="thin">
        <color theme="5"/>
      </right>
      <top/>
      <bottom style="thin">
        <color theme="5"/>
      </bottom>
      <diagonal/>
    </border>
    <border>
      <left style="medium">
        <color indexed="64"/>
      </left>
      <right style="medium">
        <color indexed="64"/>
      </right>
      <top style="medium">
        <color indexed="64"/>
      </top>
      <bottom style="thin">
        <color indexed="64"/>
      </bottom>
      <diagonal/>
    </border>
    <border>
      <left style="thin">
        <color theme="5"/>
      </left>
      <right style="thin">
        <color theme="5"/>
      </right>
      <top style="thin">
        <color theme="5"/>
      </top>
      <bottom/>
      <diagonal/>
    </border>
    <border>
      <left/>
      <right/>
      <top/>
      <bottom style="dotted">
        <color theme="1"/>
      </bottom>
      <diagonal/>
    </border>
    <border>
      <left style="medium">
        <color theme="5"/>
      </left>
      <right style="thin">
        <color theme="5"/>
      </right>
      <top style="medium">
        <color theme="5"/>
      </top>
      <bottom style="thin">
        <color theme="5"/>
      </bottom>
      <diagonal/>
    </border>
    <border>
      <left style="thin">
        <color theme="5"/>
      </left>
      <right style="thin">
        <color theme="5"/>
      </right>
      <top style="medium">
        <color theme="5"/>
      </top>
      <bottom style="thin">
        <color theme="5"/>
      </bottom>
      <diagonal/>
    </border>
    <border>
      <left style="thin">
        <color theme="5"/>
      </left>
      <right style="medium">
        <color theme="5"/>
      </right>
      <top style="medium">
        <color theme="5"/>
      </top>
      <bottom style="thin">
        <color theme="5"/>
      </bottom>
      <diagonal/>
    </border>
    <border>
      <left style="medium">
        <color theme="5"/>
      </left>
      <right style="thin">
        <color theme="5"/>
      </right>
      <top style="thin">
        <color theme="5"/>
      </top>
      <bottom style="thin">
        <color theme="5"/>
      </bottom>
      <diagonal/>
    </border>
    <border>
      <left style="thin">
        <color theme="5"/>
      </left>
      <right style="medium">
        <color theme="5"/>
      </right>
      <top style="thin">
        <color theme="5"/>
      </top>
      <bottom style="thin">
        <color theme="5"/>
      </bottom>
      <diagonal/>
    </border>
    <border>
      <left style="medium">
        <color theme="5"/>
      </left>
      <right style="thin">
        <color theme="5"/>
      </right>
      <top style="thin">
        <color theme="5"/>
      </top>
      <bottom style="medium">
        <color theme="5"/>
      </bottom>
      <diagonal/>
    </border>
    <border>
      <left style="thin">
        <color theme="5"/>
      </left>
      <right style="thin">
        <color theme="5"/>
      </right>
      <top style="thin">
        <color theme="5"/>
      </top>
      <bottom style="medium">
        <color theme="5"/>
      </bottom>
      <diagonal/>
    </border>
    <border>
      <left style="thin">
        <color theme="5"/>
      </left>
      <right style="medium">
        <color theme="5"/>
      </right>
      <top style="thin">
        <color theme="5"/>
      </top>
      <bottom style="medium">
        <color theme="5"/>
      </bottom>
      <diagonal/>
    </border>
    <border>
      <left style="medium">
        <color theme="5"/>
      </left>
      <right style="thin">
        <color theme="5"/>
      </right>
      <top/>
      <bottom style="thin">
        <color theme="5"/>
      </bottom>
      <diagonal/>
    </border>
    <border>
      <left style="thin">
        <color theme="5"/>
      </left>
      <right style="medium">
        <color theme="5"/>
      </right>
      <top/>
      <bottom style="thin">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style="medium">
        <color theme="5"/>
      </right>
      <top/>
      <bottom style="thin">
        <color theme="5"/>
      </bottom>
      <diagonal/>
    </border>
    <border>
      <left style="thin">
        <color theme="5"/>
      </left>
      <right/>
      <top/>
      <bottom style="medium">
        <color theme="5"/>
      </bottom>
      <diagonal/>
    </border>
    <border>
      <left/>
      <right style="thin">
        <color theme="5"/>
      </right>
      <top/>
      <bottom style="medium">
        <color theme="5"/>
      </bottom>
      <diagonal/>
    </border>
    <border>
      <left style="thin">
        <color theme="5"/>
      </left>
      <right/>
      <top style="medium">
        <color theme="5"/>
      </top>
      <bottom style="thin">
        <color theme="5"/>
      </bottom>
      <diagonal/>
    </border>
    <border>
      <left style="thin">
        <color theme="5"/>
      </left>
      <right/>
      <top style="thin">
        <color theme="5"/>
      </top>
      <bottom style="medium">
        <color theme="5"/>
      </bottom>
      <diagonal/>
    </border>
    <border>
      <left style="medium">
        <color theme="5"/>
      </left>
      <right style="thin">
        <color theme="5"/>
      </right>
      <top style="thin">
        <color theme="5"/>
      </top>
      <bottom/>
      <diagonal/>
    </border>
    <border>
      <left style="thin">
        <color theme="5"/>
      </left>
      <right style="medium">
        <color theme="5"/>
      </right>
      <top style="thin">
        <color theme="5"/>
      </top>
      <bottom/>
      <diagonal/>
    </border>
    <border>
      <left style="medium">
        <color theme="5"/>
      </left>
      <right/>
      <top style="medium">
        <color theme="5"/>
      </top>
      <bottom style="thin">
        <color theme="5"/>
      </bottom>
      <diagonal/>
    </border>
    <border>
      <left style="medium">
        <color theme="5"/>
      </left>
      <right/>
      <top style="thin">
        <color theme="5"/>
      </top>
      <bottom/>
      <diagonal/>
    </border>
    <border>
      <left style="medium">
        <color theme="5"/>
      </left>
      <right/>
      <top/>
      <bottom style="thin">
        <color theme="5"/>
      </bottom>
      <diagonal/>
    </border>
    <border>
      <left style="medium">
        <color theme="5"/>
      </left>
      <right/>
      <top style="thin">
        <color theme="5"/>
      </top>
      <bottom style="thin">
        <color theme="5"/>
      </bottom>
      <diagonal/>
    </border>
    <border>
      <left/>
      <right style="medium">
        <color theme="5"/>
      </right>
      <top style="thin">
        <color theme="5"/>
      </top>
      <bottom style="thin">
        <color theme="5"/>
      </bottom>
      <diagonal/>
    </border>
    <border>
      <left style="medium">
        <color theme="5"/>
      </left>
      <right/>
      <top style="thin">
        <color theme="5"/>
      </top>
      <bottom style="medium">
        <color theme="5"/>
      </bottom>
      <diagonal/>
    </border>
    <border>
      <left/>
      <right style="medium">
        <color theme="5"/>
      </right>
      <top style="thin">
        <color theme="5"/>
      </top>
      <bottom style="medium">
        <color theme="5"/>
      </bottom>
      <diagonal/>
    </border>
    <border>
      <left style="medium">
        <color theme="5"/>
      </left>
      <right style="medium">
        <color theme="5"/>
      </right>
      <top style="medium">
        <color theme="5"/>
      </top>
      <bottom style="thin">
        <color theme="5"/>
      </bottom>
      <diagonal/>
    </border>
    <border>
      <left style="medium">
        <color theme="5"/>
      </left>
      <right style="medium">
        <color theme="5"/>
      </right>
      <top style="thin">
        <color theme="5"/>
      </top>
      <bottom style="medium">
        <color theme="5"/>
      </bottom>
      <diagonal/>
    </border>
    <border>
      <left style="medium">
        <color theme="1"/>
      </left>
      <right style="medium">
        <color theme="1"/>
      </right>
      <top style="medium">
        <color theme="1"/>
      </top>
      <bottom style="medium">
        <color theme="1"/>
      </bottom>
      <diagonal/>
    </border>
    <border>
      <left style="thin">
        <color indexed="64"/>
      </left>
      <right/>
      <top style="medium">
        <color indexed="64"/>
      </top>
      <bottom/>
      <diagonal/>
    </border>
    <border>
      <left/>
      <right style="medium">
        <color theme="1"/>
      </right>
      <top style="medium">
        <color indexed="64"/>
      </top>
      <bottom style="medium">
        <color indexed="64"/>
      </bottom>
      <diagonal/>
    </border>
    <border>
      <left/>
      <right style="thin">
        <color indexed="64"/>
      </right>
      <top/>
      <bottom style="thin">
        <color indexed="64"/>
      </bottom>
      <diagonal/>
    </border>
    <border>
      <left/>
      <right style="thin">
        <color theme="5"/>
      </right>
      <top style="medium">
        <color theme="5"/>
      </top>
      <bottom/>
      <diagonal/>
    </border>
    <border>
      <left style="medium">
        <color theme="5"/>
      </left>
      <right style="thin">
        <color theme="5"/>
      </right>
      <top style="medium">
        <color theme="5"/>
      </top>
      <bottom/>
      <diagonal/>
    </border>
    <border>
      <left style="medium">
        <color theme="5"/>
      </left>
      <right style="thin">
        <color theme="5"/>
      </right>
      <top/>
      <bottom/>
      <diagonal/>
    </border>
    <border>
      <left style="medium">
        <color theme="5"/>
      </left>
      <right style="thin">
        <color theme="5"/>
      </right>
      <top/>
      <bottom style="medium">
        <color theme="5"/>
      </bottom>
      <diagonal/>
    </border>
    <border>
      <left style="thin">
        <color theme="5"/>
      </left>
      <right style="thin">
        <color theme="5"/>
      </right>
      <top style="medium">
        <color theme="5"/>
      </top>
      <bottom/>
      <diagonal/>
    </border>
    <border>
      <left style="thin">
        <color theme="5"/>
      </left>
      <right style="thin">
        <color theme="5"/>
      </right>
      <top/>
      <bottom/>
      <diagonal/>
    </border>
    <border>
      <left style="thin">
        <color theme="5"/>
      </left>
      <right style="thin">
        <color theme="5"/>
      </right>
      <top/>
      <bottom style="medium">
        <color theme="5"/>
      </bottom>
      <diagonal/>
    </border>
    <border>
      <left style="thin">
        <color theme="5"/>
      </left>
      <right style="medium">
        <color theme="5"/>
      </right>
      <top style="medium">
        <color theme="5"/>
      </top>
      <bottom/>
      <diagonal/>
    </border>
    <border>
      <left style="thin">
        <color theme="5"/>
      </left>
      <right style="medium">
        <color theme="5"/>
      </right>
      <top/>
      <bottom/>
      <diagonal/>
    </border>
    <border>
      <left style="thin">
        <color theme="5"/>
      </left>
      <right style="medium">
        <color theme="5"/>
      </right>
      <top/>
      <bottom style="medium">
        <color theme="5"/>
      </bottom>
      <diagonal/>
    </border>
    <border>
      <left/>
      <right/>
      <top style="thin">
        <color rgb="FF7D2B2B"/>
      </top>
      <bottom/>
      <diagonal/>
    </border>
    <border>
      <left/>
      <right/>
      <top/>
      <bottom style="thin">
        <color rgb="FF7D2B2B"/>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theme="8" tint="-0.249977111117893"/>
      </bottom>
      <diagonal/>
    </border>
    <border>
      <left/>
      <right/>
      <top/>
      <bottom style="thin">
        <color rgb="FF800000"/>
      </bottom>
      <diagonal/>
    </border>
    <border>
      <left/>
      <right/>
      <top style="thin">
        <color rgb="FF800000"/>
      </top>
      <bottom/>
      <diagonal/>
    </border>
    <border>
      <left style="thin">
        <color rgb="FF800000"/>
      </left>
      <right style="thin">
        <color rgb="FF800000"/>
      </right>
      <top style="thin">
        <color rgb="FF800000"/>
      </top>
      <bottom style="thin">
        <color rgb="FF800000"/>
      </bottom>
      <diagonal/>
    </border>
    <border>
      <left/>
      <right style="thin">
        <color indexed="64"/>
      </right>
      <top style="medium">
        <color indexed="64"/>
      </top>
      <bottom/>
      <diagonal/>
    </border>
    <border>
      <left/>
      <right style="thin">
        <color rgb="FF800000"/>
      </right>
      <top/>
      <bottom/>
      <diagonal/>
    </border>
    <border>
      <left style="thin">
        <color rgb="FF800000"/>
      </left>
      <right style="thin">
        <color rgb="FF800000"/>
      </right>
      <top/>
      <bottom/>
      <diagonal/>
    </border>
    <border>
      <left style="thin">
        <color rgb="FF800000"/>
      </left>
      <right/>
      <top style="thin">
        <color rgb="FF800000"/>
      </top>
      <bottom/>
      <diagonal/>
    </border>
    <border>
      <left/>
      <right style="thin">
        <color rgb="FF800000"/>
      </right>
      <top style="thin">
        <color rgb="FF800000"/>
      </top>
      <bottom/>
      <diagonal/>
    </border>
    <border>
      <left style="thin">
        <color rgb="FF800000"/>
      </left>
      <right/>
      <top/>
      <bottom/>
      <diagonal/>
    </border>
    <border>
      <left style="thin">
        <color rgb="FF800000"/>
      </left>
      <right/>
      <top/>
      <bottom style="thin">
        <color rgb="FF800000"/>
      </bottom>
      <diagonal/>
    </border>
    <border>
      <left/>
      <right style="thin">
        <color rgb="FF800000"/>
      </right>
      <top/>
      <bottom style="thin">
        <color rgb="FF800000"/>
      </bottom>
      <diagonal/>
    </border>
    <border>
      <left style="thin">
        <color rgb="FF800000"/>
      </left>
      <right style="thin">
        <color rgb="FF800000"/>
      </right>
      <top/>
      <bottom style="thin">
        <color rgb="FF800000"/>
      </bottom>
      <diagonal/>
    </border>
    <border>
      <left style="medium">
        <color rgb="FF800000"/>
      </left>
      <right/>
      <top style="medium">
        <color rgb="FF800000"/>
      </top>
      <bottom style="thin">
        <color theme="5"/>
      </bottom>
      <diagonal/>
    </border>
    <border>
      <left style="medium">
        <color rgb="FF800000"/>
      </left>
      <right/>
      <top style="thin">
        <color theme="5"/>
      </top>
      <bottom style="thin">
        <color theme="5"/>
      </bottom>
      <diagonal/>
    </border>
    <border>
      <left style="medium">
        <color rgb="FF800000"/>
      </left>
      <right/>
      <top style="thin">
        <color rgb="FF800000"/>
      </top>
      <bottom/>
      <diagonal/>
    </border>
    <border>
      <left style="medium">
        <color rgb="FF800000"/>
      </left>
      <right/>
      <top/>
      <bottom style="medium">
        <color rgb="FF800000"/>
      </bottom>
      <diagonal/>
    </border>
    <border>
      <left style="medium">
        <color rgb="FF800000"/>
      </left>
      <right style="thin">
        <color rgb="FF800000"/>
      </right>
      <top style="medium">
        <color rgb="FF800000"/>
      </top>
      <bottom style="thin">
        <color rgb="FF800000"/>
      </bottom>
      <diagonal/>
    </border>
    <border>
      <left style="thin">
        <color rgb="FF800000"/>
      </left>
      <right style="thin">
        <color rgb="FF800000"/>
      </right>
      <top style="medium">
        <color rgb="FF800000"/>
      </top>
      <bottom style="thin">
        <color rgb="FF800000"/>
      </bottom>
      <diagonal/>
    </border>
    <border>
      <left style="medium">
        <color rgb="FF800000"/>
      </left>
      <right style="thin">
        <color rgb="FF800000"/>
      </right>
      <top style="thin">
        <color rgb="FF800000"/>
      </top>
      <bottom style="thin">
        <color rgb="FF800000"/>
      </bottom>
      <diagonal/>
    </border>
    <border>
      <left/>
      <right style="medium">
        <color rgb="FF800000"/>
      </right>
      <top style="thin">
        <color rgb="FF800000"/>
      </top>
      <bottom/>
      <diagonal/>
    </border>
    <border>
      <left/>
      <right style="medium">
        <color rgb="FF800000"/>
      </right>
      <top/>
      <bottom style="thin">
        <color rgb="FF800000"/>
      </bottom>
      <diagonal/>
    </border>
    <border>
      <left style="medium">
        <color rgb="FF800000"/>
      </left>
      <right style="thin">
        <color rgb="FF800000"/>
      </right>
      <top style="thin">
        <color rgb="FF800000"/>
      </top>
      <bottom style="medium">
        <color rgb="FF800000"/>
      </bottom>
      <diagonal/>
    </border>
    <border>
      <left style="thin">
        <color rgb="FF800000"/>
      </left>
      <right style="thin">
        <color rgb="FF800000"/>
      </right>
      <top style="thin">
        <color rgb="FF800000"/>
      </top>
      <bottom style="medium">
        <color rgb="FF800000"/>
      </bottom>
      <diagonal/>
    </border>
    <border>
      <left style="thin">
        <color rgb="FF800000"/>
      </left>
      <right/>
      <top/>
      <bottom style="medium">
        <color rgb="FF800000"/>
      </bottom>
      <diagonal/>
    </border>
    <border>
      <left/>
      <right style="thin">
        <color rgb="FF800000"/>
      </right>
      <top/>
      <bottom style="medium">
        <color rgb="FF800000"/>
      </bottom>
      <diagonal/>
    </border>
    <border>
      <left/>
      <right style="medium">
        <color rgb="FF800000"/>
      </right>
      <top/>
      <bottom style="medium">
        <color rgb="FF800000"/>
      </bottom>
      <diagonal/>
    </border>
    <border>
      <left style="thin">
        <color rgb="FF800000"/>
      </left>
      <right/>
      <top style="medium">
        <color rgb="FF800000"/>
      </top>
      <bottom/>
      <diagonal/>
    </border>
    <border>
      <left/>
      <right style="thin">
        <color rgb="FF800000"/>
      </right>
      <top style="medium">
        <color rgb="FF800000"/>
      </top>
      <bottom/>
      <diagonal/>
    </border>
    <border>
      <left/>
      <right style="medium">
        <color rgb="FF800000"/>
      </right>
      <top style="medium">
        <color rgb="FF800000"/>
      </top>
      <bottom/>
      <diagonal/>
    </border>
    <border>
      <left/>
      <right style="medium">
        <color rgb="FF800000"/>
      </right>
      <top/>
      <bottom/>
      <diagonal/>
    </border>
    <border>
      <left style="medium">
        <color rgb="FF800000"/>
      </left>
      <right style="thin">
        <color rgb="FF800000"/>
      </right>
      <top style="thin">
        <color rgb="FF800000"/>
      </top>
      <bottom/>
      <diagonal/>
    </border>
    <border>
      <left style="thin">
        <color rgb="FF800000"/>
      </left>
      <right style="thin">
        <color rgb="FF800000"/>
      </right>
      <top style="thin">
        <color rgb="FF800000"/>
      </top>
      <bottom/>
      <diagonal/>
    </border>
    <border>
      <left style="medium">
        <color rgb="FF800000"/>
      </left>
      <right style="medium">
        <color rgb="FF800000"/>
      </right>
      <top style="medium">
        <color rgb="FF800000"/>
      </top>
      <bottom/>
      <diagonal/>
    </border>
    <border>
      <left style="medium">
        <color rgb="FF800000"/>
      </left>
      <right style="medium">
        <color rgb="FF800000"/>
      </right>
      <top/>
      <bottom style="thin">
        <color theme="5"/>
      </bottom>
      <diagonal/>
    </border>
    <border>
      <left style="medium">
        <color rgb="FF800000"/>
      </left>
      <right style="medium">
        <color rgb="FF800000"/>
      </right>
      <top style="medium">
        <color theme="5"/>
      </top>
      <bottom/>
      <diagonal/>
    </border>
    <border>
      <left style="medium">
        <color rgb="FF800000"/>
      </left>
      <right style="medium">
        <color rgb="FF800000"/>
      </right>
      <top/>
      <bottom style="medium">
        <color rgb="FF800000"/>
      </bottom>
      <diagonal/>
    </border>
    <border>
      <left style="medium">
        <color indexed="64"/>
      </left>
      <right style="medium">
        <color indexed="64"/>
      </right>
      <top style="thin">
        <color indexed="64"/>
      </top>
      <bottom style="thin">
        <color indexed="64"/>
      </bottom>
      <diagonal/>
    </border>
    <border>
      <left style="thin">
        <color rgb="FF800000"/>
      </left>
      <right style="medium">
        <color rgb="FF800000"/>
      </right>
      <top style="medium">
        <color rgb="FF800000"/>
      </top>
      <bottom style="thin">
        <color rgb="FF800000"/>
      </bottom>
      <diagonal/>
    </border>
    <border>
      <left style="thin">
        <color rgb="FF800000"/>
      </left>
      <right style="medium">
        <color rgb="FF800000"/>
      </right>
      <top style="thin">
        <color rgb="FF800000"/>
      </top>
      <bottom style="thin">
        <color rgb="FF800000"/>
      </bottom>
      <diagonal/>
    </border>
    <border>
      <left style="thin">
        <color rgb="FF800000"/>
      </left>
      <right style="medium">
        <color rgb="FF800000"/>
      </right>
      <top style="thin">
        <color rgb="FF800000"/>
      </top>
      <bottom style="medium">
        <color rgb="FF800000"/>
      </bottom>
      <diagonal/>
    </border>
    <border>
      <left style="medium">
        <color rgb="FF800000"/>
      </left>
      <right style="thin">
        <color rgb="FF800000"/>
      </right>
      <top/>
      <bottom style="thin">
        <color rgb="FF800000"/>
      </bottom>
      <diagonal/>
    </border>
    <border>
      <left style="thin">
        <color rgb="FF800000"/>
      </left>
      <right style="thin">
        <color rgb="FF800000"/>
      </right>
      <top/>
      <bottom style="medium">
        <color rgb="FF800000"/>
      </bottom>
      <diagonal/>
    </border>
    <border>
      <left style="thin">
        <color rgb="FF800000"/>
      </left>
      <right style="thin">
        <color rgb="FF800000"/>
      </right>
      <top style="medium">
        <color rgb="FF800000"/>
      </top>
      <bottom/>
      <diagonal/>
    </border>
    <border>
      <left style="medium">
        <color rgb="FF800000"/>
      </left>
      <right/>
      <top style="thin">
        <color theme="5"/>
      </top>
      <bottom/>
      <diagonal/>
    </border>
    <border>
      <left style="thin">
        <color rgb="FF800000"/>
      </left>
      <right style="medium">
        <color rgb="FF800000"/>
      </right>
      <top style="medium">
        <color rgb="FF800000"/>
      </top>
      <bottom/>
      <diagonal/>
    </border>
    <border>
      <left style="thin">
        <color rgb="FF800000"/>
      </left>
      <right style="medium">
        <color rgb="FF800000"/>
      </right>
      <top/>
      <bottom style="thin">
        <color rgb="FF800000"/>
      </bottom>
      <diagonal/>
    </border>
    <border>
      <left style="thin">
        <color rgb="FF800000"/>
      </left>
      <right style="medium">
        <color rgb="FF800000"/>
      </right>
      <top style="thin">
        <color rgb="FF800000"/>
      </top>
      <bottom/>
      <diagonal/>
    </border>
    <border>
      <left style="medium">
        <color rgb="FF800000"/>
      </left>
      <right/>
      <top style="medium">
        <color rgb="FF800000"/>
      </top>
      <bottom/>
      <diagonal/>
    </border>
    <border>
      <left/>
      <right/>
      <top style="medium">
        <color rgb="FF800000"/>
      </top>
      <bottom/>
      <diagonal/>
    </border>
    <border>
      <left/>
      <right/>
      <top/>
      <bottom style="medium">
        <color rgb="FF800000"/>
      </bottom>
      <diagonal/>
    </border>
    <border>
      <left style="thin">
        <color rgb="FF800000"/>
      </left>
      <right style="medium">
        <color rgb="FF800000"/>
      </right>
      <top/>
      <bottom style="medium">
        <color rgb="FF800000"/>
      </bottom>
      <diagonal/>
    </border>
    <border>
      <left/>
      <right style="thin">
        <color rgb="FF800000"/>
      </right>
      <top style="thin">
        <color rgb="FF800000"/>
      </top>
      <bottom style="thin">
        <color rgb="FF800000"/>
      </bottom>
      <diagonal/>
    </border>
    <border>
      <left/>
      <right style="thin">
        <color rgb="FF800000"/>
      </right>
      <top style="thin">
        <color rgb="FF800000"/>
      </top>
      <bottom style="medium">
        <color rgb="FF800000"/>
      </bottom>
      <diagonal/>
    </border>
    <border>
      <left/>
      <right style="thin">
        <color rgb="FF800000"/>
      </right>
      <top style="medium">
        <color rgb="FF800000"/>
      </top>
      <bottom style="thin">
        <color rgb="FF800000"/>
      </bottom>
      <diagonal/>
    </border>
    <border>
      <left style="medium">
        <color rgb="FF800000"/>
      </left>
      <right/>
      <top/>
      <bottom/>
      <diagonal/>
    </border>
    <border>
      <left style="thin">
        <color rgb="FF800000"/>
      </left>
      <right style="medium">
        <color rgb="FF800000"/>
      </right>
      <top/>
      <bottom/>
      <diagonal/>
    </border>
    <border>
      <left/>
      <right style="thin">
        <color theme="5"/>
      </right>
      <top style="medium">
        <color rgb="FF800000"/>
      </top>
      <bottom/>
      <diagonal/>
    </border>
    <border>
      <left style="thin">
        <color theme="5"/>
      </left>
      <right style="thin">
        <color theme="5"/>
      </right>
      <top style="medium">
        <color rgb="FF800000"/>
      </top>
      <bottom/>
      <diagonal/>
    </border>
    <border>
      <left style="thin">
        <color theme="5"/>
      </left>
      <right style="medium">
        <color rgb="FF800000"/>
      </right>
      <top style="medium">
        <color rgb="FF800000"/>
      </top>
      <bottom/>
      <diagonal/>
    </border>
    <border>
      <left/>
      <right style="thin">
        <color theme="5"/>
      </right>
      <top/>
      <bottom style="medium">
        <color rgb="FF800000"/>
      </bottom>
      <diagonal/>
    </border>
    <border>
      <left style="thin">
        <color theme="5"/>
      </left>
      <right style="thin">
        <color theme="5"/>
      </right>
      <top/>
      <bottom style="medium">
        <color rgb="FF800000"/>
      </bottom>
      <diagonal/>
    </border>
    <border>
      <left style="thin">
        <color theme="5"/>
      </left>
      <right style="medium">
        <color rgb="FF800000"/>
      </right>
      <top/>
      <bottom style="medium">
        <color rgb="FF800000"/>
      </bottom>
      <diagonal/>
    </border>
    <border>
      <left style="medium">
        <color rgb="FF800000"/>
      </left>
      <right style="medium">
        <color rgb="FF800000"/>
      </right>
      <top style="medium">
        <color rgb="FF800000"/>
      </top>
      <bottom style="thin">
        <color theme="5"/>
      </bottom>
      <diagonal/>
    </border>
    <border>
      <left style="medium">
        <color rgb="FF800000"/>
      </left>
      <right style="medium">
        <color rgb="FF800000"/>
      </right>
      <top style="thin">
        <color theme="5"/>
      </top>
      <bottom style="thin">
        <color rgb="FF800000"/>
      </bottom>
      <diagonal/>
    </border>
    <border>
      <left style="medium">
        <color rgb="FF800000"/>
      </left>
      <right style="medium">
        <color rgb="FF800000"/>
      </right>
      <top style="thin">
        <color rgb="FF800000"/>
      </top>
      <bottom style="thin">
        <color theme="5"/>
      </bottom>
      <diagonal/>
    </border>
    <border>
      <left style="medium">
        <color rgb="FF800000"/>
      </left>
      <right style="medium">
        <color rgb="FF800000"/>
      </right>
      <top style="thin">
        <color theme="5"/>
      </top>
      <bottom style="medium">
        <color rgb="FF800000"/>
      </bottom>
      <diagonal/>
    </border>
    <border>
      <left style="thin">
        <color theme="5"/>
      </left>
      <right style="medium">
        <color rgb="FF800000"/>
      </right>
      <top style="medium">
        <color theme="5"/>
      </top>
      <bottom/>
      <diagonal/>
    </border>
    <border>
      <left style="thin">
        <color theme="5"/>
      </left>
      <right/>
      <top style="medium">
        <color theme="5"/>
      </top>
      <bottom/>
      <diagonal/>
    </border>
    <border>
      <left style="thin">
        <color theme="5"/>
      </left>
      <right style="medium">
        <color rgb="FF800000"/>
      </right>
      <top/>
      <bottom/>
      <diagonal/>
    </border>
    <border>
      <left style="medium">
        <color theme="5"/>
      </left>
      <right style="thin">
        <color theme="5"/>
      </right>
      <top/>
      <bottom style="thin">
        <color rgb="FF800000"/>
      </bottom>
      <diagonal/>
    </border>
    <border>
      <left style="thin">
        <color theme="5"/>
      </left>
      <right style="thin">
        <color theme="5"/>
      </right>
      <top/>
      <bottom style="thin">
        <color rgb="FF800000"/>
      </bottom>
      <diagonal/>
    </border>
    <border>
      <left style="thin">
        <color theme="5"/>
      </left>
      <right style="medium">
        <color rgb="FF800000"/>
      </right>
      <top/>
      <bottom style="thin">
        <color rgb="FF800000"/>
      </bottom>
      <diagonal/>
    </border>
    <border>
      <left style="medium">
        <color theme="5"/>
      </left>
      <right style="thin">
        <color theme="5"/>
      </right>
      <top style="thin">
        <color rgb="FF800000"/>
      </top>
      <bottom/>
      <diagonal/>
    </border>
    <border>
      <left style="thin">
        <color theme="5"/>
      </left>
      <right style="thin">
        <color theme="5"/>
      </right>
      <top style="thin">
        <color rgb="FF800000"/>
      </top>
      <bottom/>
      <diagonal/>
    </border>
    <border>
      <left style="thin">
        <color theme="5"/>
      </left>
      <right style="medium">
        <color rgb="FF800000"/>
      </right>
      <top style="thin">
        <color rgb="FF800000"/>
      </top>
      <bottom/>
      <diagonal/>
    </border>
    <border>
      <left style="medium">
        <color rgb="FF800000"/>
      </left>
      <right style="thin">
        <color theme="5"/>
      </right>
      <top style="medium">
        <color rgb="FF800000"/>
      </top>
      <bottom/>
      <diagonal/>
    </border>
    <border>
      <left style="medium">
        <color rgb="FF800000"/>
      </left>
      <right style="thin">
        <color theme="5"/>
      </right>
      <top/>
      <bottom style="medium">
        <color rgb="FF800000"/>
      </bottom>
      <diagonal/>
    </border>
    <border>
      <left style="medium">
        <color rgb="FF800000"/>
      </left>
      <right/>
      <top/>
      <bottom style="thin">
        <color rgb="FF800000"/>
      </bottom>
      <diagonal/>
    </border>
    <border>
      <left style="medium">
        <color theme="5"/>
      </left>
      <right style="medium">
        <color rgb="FF800000"/>
      </right>
      <top/>
      <bottom/>
      <diagonal/>
    </border>
    <border>
      <left style="medium">
        <color theme="5"/>
      </left>
      <right style="medium">
        <color theme="5"/>
      </right>
      <top style="thin">
        <color theme="5"/>
      </top>
      <bottom/>
      <diagonal/>
    </border>
    <border>
      <left style="medium">
        <color theme="5"/>
      </left>
      <right style="medium">
        <color theme="5"/>
      </right>
      <top/>
      <bottom/>
      <diagonal/>
    </border>
    <border>
      <left style="thin">
        <color rgb="FF800000"/>
      </left>
      <right/>
      <top style="thin">
        <color rgb="FF800000"/>
      </top>
      <bottom style="thin">
        <color rgb="FF800000"/>
      </bottom>
      <diagonal/>
    </border>
    <border>
      <left/>
      <right/>
      <top/>
      <bottom style="medium">
        <color indexed="64"/>
      </bottom>
      <diagonal/>
    </border>
    <border>
      <left/>
      <right style="medium">
        <color indexed="64"/>
      </right>
      <top/>
      <bottom style="medium">
        <color indexed="64"/>
      </bottom>
      <diagonal/>
    </border>
    <border>
      <left style="medium">
        <color theme="5"/>
      </left>
      <right style="thin">
        <color theme="5"/>
      </right>
      <top style="thin">
        <color theme="5"/>
      </top>
      <bottom style="thin">
        <color rgb="FF800000"/>
      </bottom>
      <diagonal/>
    </border>
    <border>
      <left style="thin">
        <color theme="5"/>
      </left>
      <right style="thin">
        <color theme="5"/>
      </right>
      <top style="thin">
        <color theme="5"/>
      </top>
      <bottom style="thin">
        <color rgb="FF800000"/>
      </bottom>
      <diagonal/>
    </border>
    <border>
      <left style="thin">
        <color theme="5"/>
      </left>
      <right style="medium">
        <color theme="5"/>
      </right>
      <top style="thin">
        <color theme="5"/>
      </top>
      <bottom style="thin">
        <color rgb="FF800000"/>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theme="5"/>
      </left>
      <right style="thin">
        <color rgb="FF800000"/>
      </right>
      <top style="medium">
        <color theme="5"/>
      </top>
      <bottom style="thin">
        <color rgb="FF800000"/>
      </bottom>
      <diagonal/>
    </border>
    <border>
      <left style="thin">
        <color rgb="FF800000"/>
      </left>
      <right style="thin">
        <color rgb="FF800000"/>
      </right>
      <top style="medium">
        <color theme="5"/>
      </top>
      <bottom style="thin">
        <color rgb="FF800000"/>
      </bottom>
      <diagonal/>
    </border>
    <border>
      <left style="thin">
        <color rgb="FF800000"/>
      </left>
      <right style="medium">
        <color rgb="FF800000"/>
      </right>
      <top style="medium">
        <color theme="5"/>
      </top>
      <bottom style="thin">
        <color rgb="FF800000"/>
      </bottom>
      <diagonal/>
    </border>
    <border>
      <left/>
      <right style="thin">
        <color rgb="FF800000"/>
      </right>
      <top style="medium">
        <color theme="5"/>
      </top>
      <bottom/>
      <diagonal/>
    </border>
    <border>
      <left style="thin">
        <color rgb="FF800000"/>
      </left>
      <right style="thin">
        <color rgb="FF800000"/>
      </right>
      <top style="medium">
        <color theme="5"/>
      </top>
      <bottom/>
      <diagonal/>
    </border>
    <border>
      <left style="thin">
        <color rgb="FF800000"/>
      </left>
      <right style="medium">
        <color theme="5"/>
      </right>
      <top style="medium">
        <color theme="5"/>
      </top>
      <bottom/>
      <diagonal/>
    </border>
    <border>
      <left style="medium">
        <color theme="5"/>
      </left>
      <right style="thin">
        <color rgb="FF800000"/>
      </right>
      <top style="thin">
        <color rgb="FF800000"/>
      </top>
      <bottom style="thin">
        <color rgb="FF800000"/>
      </bottom>
      <diagonal/>
    </border>
    <border>
      <left style="thin">
        <color rgb="FF800000"/>
      </left>
      <right style="medium">
        <color theme="5"/>
      </right>
      <top/>
      <bottom style="thin">
        <color rgb="FF800000"/>
      </bottom>
      <diagonal/>
    </border>
    <border>
      <left style="thin">
        <color rgb="FF800000"/>
      </left>
      <right style="medium">
        <color theme="5"/>
      </right>
      <top style="thin">
        <color rgb="FF800000"/>
      </top>
      <bottom/>
      <diagonal/>
    </border>
    <border>
      <left style="medium">
        <color theme="5"/>
      </left>
      <right style="thin">
        <color rgb="FF800000"/>
      </right>
      <top style="thin">
        <color rgb="FF800000"/>
      </top>
      <bottom style="medium">
        <color theme="5"/>
      </bottom>
      <diagonal/>
    </border>
    <border>
      <left style="thin">
        <color rgb="FF800000"/>
      </left>
      <right style="thin">
        <color rgb="FF800000"/>
      </right>
      <top style="thin">
        <color rgb="FF800000"/>
      </top>
      <bottom style="medium">
        <color theme="5"/>
      </bottom>
      <diagonal/>
    </border>
    <border>
      <left style="thin">
        <color rgb="FF800000"/>
      </left>
      <right style="medium">
        <color rgb="FF800000"/>
      </right>
      <top style="thin">
        <color rgb="FF800000"/>
      </top>
      <bottom style="medium">
        <color theme="5"/>
      </bottom>
      <diagonal/>
    </border>
    <border>
      <left/>
      <right style="thin">
        <color rgb="FF800000"/>
      </right>
      <top/>
      <bottom style="medium">
        <color theme="5"/>
      </bottom>
      <diagonal/>
    </border>
    <border>
      <left style="thin">
        <color rgb="FF800000"/>
      </left>
      <right style="thin">
        <color rgb="FF800000"/>
      </right>
      <top/>
      <bottom style="medium">
        <color theme="5"/>
      </bottom>
      <diagonal/>
    </border>
    <border>
      <left style="thin">
        <color rgb="FF800000"/>
      </left>
      <right style="medium">
        <color theme="5"/>
      </right>
      <top/>
      <bottom style="medium">
        <color theme="5"/>
      </bottom>
      <diagonal/>
    </border>
  </borders>
  <cellStyleXfs count="6">
    <xf numFmtId="0" fontId="0" fillId="0" borderId="0"/>
    <xf numFmtId="9"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0" fontId="33" fillId="0" borderId="0">
      <alignment horizontal="center" vertical="center"/>
    </xf>
    <xf numFmtId="4" fontId="34" fillId="0" borderId="0" applyFont="0" applyFill="0" applyBorder="0" applyAlignment="0" applyProtection="0"/>
  </cellStyleXfs>
  <cellXfs count="1624">
    <xf numFmtId="0" fontId="0" fillId="0" borderId="0" xfId="0"/>
    <xf numFmtId="0" fontId="0" fillId="0" borderId="4" xfId="0" applyBorder="1"/>
    <xf numFmtId="0" fontId="0" fillId="0" borderId="1" xfId="0" applyBorder="1"/>
    <xf numFmtId="0" fontId="0" fillId="0" borderId="11" xfId="0" applyBorder="1"/>
    <xf numFmtId="0" fontId="0" fillId="0" borderId="6" xfId="0" applyBorder="1"/>
    <xf numFmtId="0" fontId="0" fillId="14" borderId="8" xfId="0" applyFill="1" applyBorder="1"/>
    <xf numFmtId="0" fontId="0" fillId="14" borderId="9" xfId="0" applyFill="1" applyBorder="1"/>
    <xf numFmtId="0" fontId="0" fillId="14" borderId="11" xfId="0" applyFill="1" applyBorder="1"/>
    <xf numFmtId="0" fontId="0" fillId="14" borderId="13" xfId="0" applyFill="1" applyBorder="1" applyAlignment="1">
      <alignment horizontal="left" vertical="center"/>
    </xf>
    <xf numFmtId="0" fontId="0" fillId="14" borderId="14" xfId="0" applyFill="1" applyBorder="1"/>
    <xf numFmtId="0" fontId="0" fillId="14" borderId="15" xfId="0" applyFill="1" applyBorder="1"/>
    <xf numFmtId="0" fontId="0" fillId="14" borderId="1" xfId="0" applyFill="1" applyBorder="1"/>
    <xf numFmtId="0" fontId="0" fillId="14" borderId="25" xfId="0" applyFill="1" applyBorder="1"/>
    <xf numFmtId="0" fontId="0" fillId="14" borderId="12" xfId="0" applyFill="1" applyBorder="1"/>
    <xf numFmtId="0" fontId="0" fillId="14" borderId="19" xfId="0" applyFill="1" applyBorder="1" applyAlignment="1">
      <alignment horizontal="left"/>
    </xf>
    <xf numFmtId="0" fontId="0" fillId="9" borderId="5" xfId="0" applyFill="1" applyBorder="1"/>
    <xf numFmtId="0" fontId="0" fillId="9" borderId="19" xfId="0" applyFill="1" applyBorder="1" applyAlignment="1">
      <alignment horizontal="left"/>
    </xf>
    <xf numFmtId="0" fontId="0" fillId="9" borderId="14" xfId="0" applyFill="1" applyBorder="1"/>
    <xf numFmtId="0" fontId="0" fillId="9" borderId="13" xfId="0" applyFill="1" applyBorder="1" applyAlignment="1">
      <alignment horizontal="left" vertical="center"/>
    </xf>
    <xf numFmtId="0" fontId="0" fillId="0" borderId="55" xfId="0" applyBorder="1"/>
    <xf numFmtId="0" fontId="0" fillId="11" borderId="0" xfId="0" applyFill="1"/>
    <xf numFmtId="0" fontId="0" fillId="4" borderId="15" xfId="0" applyFill="1" applyBorder="1"/>
    <xf numFmtId="0" fontId="0" fillId="0" borderId="15" xfId="0" applyBorder="1"/>
    <xf numFmtId="0" fontId="4" fillId="0" borderId="0" xfId="0" applyFont="1" applyAlignment="1">
      <alignment horizontal="center" vertical="center"/>
    </xf>
    <xf numFmtId="0" fontId="0" fillId="0" borderId="0" xfId="0" pivotButton="1"/>
    <xf numFmtId="165" fontId="0" fillId="15" borderId="1" xfId="0" applyNumberFormat="1" applyFill="1" applyBorder="1"/>
    <xf numFmtId="1" fontId="0" fillId="15" borderId="1" xfId="0" applyNumberFormat="1" applyFill="1" applyBorder="1"/>
    <xf numFmtId="0" fontId="0" fillId="17" borderId="14" xfId="0" applyFill="1" applyBorder="1" applyAlignment="1">
      <alignment horizontal="center" vertical="center"/>
    </xf>
    <xf numFmtId="0" fontId="1" fillId="18" borderId="53" xfId="0" applyFont="1" applyFill="1" applyBorder="1" applyAlignment="1">
      <alignment horizontal="center" vertical="center"/>
    </xf>
    <xf numFmtId="0" fontId="1" fillId="18" borderId="59" xfId="0" applyFont="1" applyFill="1" applyBorder="1" applyAlignment="1">
      <alignment horizontal="center" vertical="center"/>
    </xf>
    <xf numFmtId="0" fontId="1" fillId="18" borderId="68" xfId="0" applyFont="1" applyFill="1" applyBorder="1" applyAlignment="1">
      <alignment horizontal="center" vertical="center"/>
    </xf>
    <xf numFmtId="0" fontId="1" fillId="18" borderId="57" xfId="0" applyFont="1" applyFill="1" applyBorder="1" applyAlignment="1">
      <alignment horizontal="center" vertical="center"/>
    </xf>
    <xf numFmtId="0" fontId="1" fillId="18" borderId="58" xfId="0" applyFont="1" applyFill="1" applyBorder="1" applyAlignment="1">
      <alignment horizontal="center" vertical="center"/>
    </xf>
    <xf numFmtId="0" fontId="1" fillId="18" borderId="13" xfId="0" applyFont="1" applyFill="1" applyBorder="1" applyAlignment="1">
      <alignment horizontal="center" vertical="center"/>
    </xf>
    <xf numFmtId="0" fontId="1" fillId="18" borderId="14" xfId="0" applyFont="1" applyFill="1" applyBorder="1" applyAlignment="1">
      <alignment horizontal="center" vertical="center"/>
    </xf>
    <xf numFmtId="0" fontId="1" fillId="18" borderId="15" xfId="0" applyFont="1" applyFill="1" applyBorder="1" applyAlignment="1">
      <alignment horizontal="center" vertical="center"/>
    </xf>
    <xf numFmtId="0" fontId="5" fillId="18" borderId="52" xfId="0" applyFont="1" applyFill="1" applyBorder="1"/>
    <xf numFmtId="0" fontId="1" fillId="18" borderId="68" xfId="0" applyFont="1" applyFill="1" applyBorder="1" applyAlignment="1">
      <alignment horizontal="center" vertical="center" wrapText="1"/>
    </xf>
    <xf numFmtId="0" fontId="0" fillId="14" borderId="43" xfId="0" applyFill="1" applyBorder="1"/>
    <xf numFmtId="14" fontId="0" fillId="0" borderId="14" xfId="0" applyNumberFormat="1" applyBorder="1"/>
    <xf numFmtId="0" fontId="1" fillId="18" borderId="11" xfId="0" applyFont="1" applyFill="1" applyBorder="1" applyAlignment="1">
      <alignment horizontal="center" vertical="center" wrapText="1"/>
    </xf>
    <xf numFmtId="0" fontId="1" fillId="18" borderId="11" xfId="0" applyFont="1" applyFill="1" applyBorder="1" applyAlignment="1">
      <alignment horizontal="center" vertical="center"/>
    </xf>
    <xf numFmtId="0" fontId="1" fillId="18" borderId="70" xfId="0" applyFont="1" applyFill="1" applyBorder="1" applyAlignment="1">
      <alignment horizontal="center" vertical="center" wrapText="1"/>
    </xf>
    <xf numFmtId="0" fontId="1" fillId="18" borderId="12" xfId="0" applyFont="1" applyFill="1" applyBorder="1" applyAlignment="1">
      <alignment horizontal="center" vertical="center"/>
    </xf>
    <xf numFmtId="0" fontId="0" fillId="12" borderId="1" xfId="0" applyFill="1" applyBorder="1"/>
    <xf numFmtId="0" fontId="0" fillId="2" borderId="45" xfId="0" applyFill="1" applyBorder="1"/>
    <xf numFmtId="0" fontId="0" fillId="2" borderId="29" xfId="0" applyFill="1" applyBorder="1"/>
    <xf numFmtId="0" fontId="0" fillId="2" borderId="46" xfId="0" applyFill="1" applyBorder="1"/>
    <xf numFmtId="0" fontId="0" fillId="20" borderId="72" xfId="0" applyFill="1" applyBorder="1"/>
    <xf numFmtId="0" fontId="0" fillId="20" borderId="73" xfId="0" applyFill="1" applyBorder="1"/>
    <xf numFmtId="9" fontId="0" fillId="20" borderId="73" xfId="1" applyFont="1" applyFill="1" applyBorder="1"/>
    <xf numFmtId="9" fontId="0" fillId="20" borderId="74" xfId="1" applyFont="1" applyFill="1" applyBorder="1"/>
    <xf numFmtId="0" fontId="0" fillId="20" borderId="75" xfId="0" applyFill="1" applyBorder="1"/>
    <xf numFmtId="9" fontId="0" fillId="20" borderId="75" xfId="1" applyFont="1" applyFill="1" applyBorder="1"/>
    <xf numFmtId="0" fontId="1" fillId="8" borderId="37" xfId="0" applyFont="1" applyFill="1" applyBorder="1" applyAlignment="1">
      <alignment horizontal="center" vertical="center"/>
    </xf>
    <xf numFmtId="0" fontId="1" fillId="8" borderId="0" xfId="0" applyFont="1" applyFill="1" applyAlignment="1">
      <alignment horizontal="center" vertical="center"/>
    </xf>
    <xf numFmtId="0" fontId="0" fillId="0" borderId="37" xfId="0" applyBorder="1"/>
    <xf numFmtId="0" fontId="0" fillId="9" borderId="11" xfId="0" applyFill="1" applyBorder="1"/>
    <xf numFmtId="0" fontId="0" fillId="9" borderId="12" xfId="0" applyFill="1" applyBorder="1"/>
    <xf numFmtId="0" fontId="0" fillId="9" borderId="13" xfId="0" applyFill="1" applyBorder="1" applyAlignment="1">
      <alignment horizontal="left"/>
    </xf>
    <xf numFmtId="0" fontId="0" fillId="2" borderId="21" xfId="0" applyFill="1" applyBorder="1" applyAlignment="1">
      <alignment vertical="center"/>
    </xf>
    <xf numFmtId="0" fontId="0" fillId="0" borderId="0" xfId="0" applyAlignment="1">
      <alignment horizontal="center"/>
    </xf>
    <xf numFmtId="0" fontId="0" fillId="14" borderId="42" xfId="0" applyFill="1" applyBorder="1" applyAlignment="1">
      <alignment horizontal="left" vertical="center"/>
    </xf>
    <xf numFmtId="0" fontId="0" fillId="14" borderId="34" xfId="0" applyFill="1" applyBorder="1"/>
    <xf numFmtId="0" fontId="0" fillId="3" borderId="21" xfId="0" applyFill="1" applyBorder="1" applyAlignment="1">
      <alignment vertical="center"/>
    </xf>
    <xf numFmtId="0" fontId="0" fillId="9" borderId="8" xfId="0" applyFill="1" applyBorder="1"/>
    <xf numFmtId="0" fontId="0" fillId="9" borderId="9" xfId="0" applyFill="1" applyBorder="1"/>
    <xf numFmtId="0" fontId="7" fillId="0" borderId="0" xfId="0" applyFont="1" applyAlignment="1">
      <alignment vertical="center"/>
    </xf>
    <xf numFmtId="0" fontId="0" fillId="0" borderId="0" xfId="0" applyAlignment="1">
      <alignment vertical="center"/>
    </xf>
    <xf numFmtId="0" fontId="0" fillId="0" borderId="77" xfId="0" applyBorder="1"/>
    <xf numFmtId="0" fontId="0" fillId="0" borderId="83" xfId="0" applyBorder="1"/>
    <xf numFmtId="0" fontId="5" fillId="0" borderId="0" xfId="0" applyFont="1" applyAlignment="1">
      <alignment horizontal="left"/>
    </xf>
    <xf numFmtId="1" fontId="0" fillId="0" borderId="0" xfId="0" applyNumberFormat="1"/>
    <xf numFmtId="0" fontId="0" fillId="0" borderId="85" xfId="0" applyBorder="1"/>
    <xf numFmtId="0" fontId="15" fillId="0" borderId="86" xfId="0" applyFont="1" applyBorder="1" applyAlignment="1">
      <alignment vertical="center"/>
    </xf>
    <xf numFmtId="0" fontId="15" fillId="0" borderId="86" xfId="0" applyFont="1" applyBorder="1"/>
    <xf numFmtId="0" fontId="0" fillId="10" borderId="29" xfId="0" applyFill="1" applyBorder="1"/>
    <xf numFmtId="0" fontId="0" fillId="0" borderId="0" xfId="0" applyAlignment="1">
      <alignment horizontal="left" vertical="center"/>
    </xf>
    <xf numFmtId="167" fontId="0" fillId="0" borderId="0" xfId="0" applyNumberFormat="1" applyAlignment="1">
      <alignment horizontal="right"/>
    </xf>
    <xf numFmtId="167" fontId="0" fillId="0" borderId="77" xfId="0" applyNumberFormat="1" applyBorder="1" applyAlignment="1">
      <alignment horizontal="right"/>
    </xf>
    <xf numFmtId="0" fontId="0" fillId="0" borderId="0" xfId="0" applyAlignment="1">
      <alignment horizontal="right"/>
    </xf>
    <xf numFmtId="1" fontId="0" fillId="0" borderId="1" xfId="0" applyNumberFormat="1" applyBorder="1"/>
    <xf numFmtId="0" fontId="0" fillId="32" borderId="16" xfId="0" applyFill="1" applyBorder="1"/>
    <xf numFmtId="0" fontId="0" fillId="32" borderId="8" xfId="0" applyFill="1" applyBorder="1"/>
    <xf numFmtId="0" fontId="0" fillId="32" borderId="9" xfId="0" applyFill="1" applyBorder="1"/>
    <xf numFmtId="0" fontId="0" fillId="32" borderId="3" xfId="0" applyFill="1" applyBorder="1"/>
    <xf numFmtId="0" fontId="0" fillId="32" borderId="1" xfId="0" applyFill="1" applyBorder="1"/>
    <xf numFmtId="0" fontId="0" fillId="32" borderId="25" xfId="0" applyFill="1" applyBorder="1"/>
    <xf numFmtId="0" fontId="0" fillId="32" borderId="17" xfId="0" applyFill="1" applyBorder="1"/>
    <xf numFmtId="0" fontId="0" fillId="32" borderId="11" xfId="0" applyFill="1" applyBorder="1"/>
    <xf numFmtId="0" fontId="0" fillId="32" borderId="12" xfId="0" applyFill="1" applyBorder="1"/>
    <xf numFmtId="0" fontId="0" fillId="32" borderId="47" xfId="0" applyFill="1" applyBorder="1"/>
    <xf numFmtId="0" fontId="0" fillId="32" borderId="34" xfId="0" applyFill="1" applyBorder="1"/>
    <xf numFmtId="0" fontId="0" fillId="32" borderId="35" xfId="0" applyFill="1" applyBorder="1"/>
    <xf numFmtId="0" fontId="0" fillId="32" borderId="13" xfId="0" applyFill="1" applyBorder="1"/>
    <xf numFmtId="0" fontId="0" fillId="32" borderId="14" xfId="0" applyFill="1" applyBorder="1"/>
    <xf numFmtId="0" fontId="0" fillId="32" borderId="15" xfId="0" applyFill="1" applyBorder="1"/>
    <xf numFmtId="0" fontId="0" fillId="33" borderId="16" xfId="0" applyFill="1" applyBorder="1"/>
    <xf numFmtId="0" fontId="0" fillId="33" borderId="8" xfId="0" applyFill="1" applyBorder="1"/>
    <xf numFmtId="0" fontId="0" fillId="33" borderId="9" xfId="0" applyFill="1" applyBorder="1"/>
    <xf numFmtId="0" fontId="0" fillId="33" borderId="41" xfId="0" applyFill="1" applyBorder="1"/>
    <xf numFmtId="0" fontId="0" fillId="33" borderId="6" xfId="0" applyFill="1" applyBorder="1"/>
    <xf numFmtId="0" fontId="0" fillId="33" borderId="33" xfId="0" applyFill="1" applyBorder="1"/>
    <xf numFmtId="0" fontId="0" fillId="33" borderId="17" xfId="0" applyFill="1" applyBorder="1"/>
    <xf numFmtId="0" fontId="0" fillId="33" borderId="11" xfId="0" applyFill="1" applyBorder="1"/>
    <xf numFmtId="0" fontId="0" fillId="33" borderId="12" xfId="0" applyFill="1" applyBorder="1"/>
    <xf numFmtId="0" fontId="0" fillId="33" borderId="18" xfId="0" applyFill="1" applyBorder="1"/>
    <xf numFmtId="0" fontId="0" fillId="33" borderId="14" xfId="0" applyFill="1" applyBorder="1"/>
    <xf numFmtId="0" fontId="0" fillId="33" borderId="15" xfId="0" applyFill="1" applyBorder="1"/>
    <xf numFmtId="0" fontId="0" fillId="32" borderId="18" xfId="0" applyFill="1" applyBorder="1"/>
    <xf numFmtId="0" fontId="0" fillId="14" borderId="46" xfId="0" applyFill="1" applyBorder="1"/>
    <xf numFmtId="0" fontId="0" fillId="9" borderId="46" xfId="0" applyFill="1" applyBorder="1"/>
    <xf numFmtId="0" fontId="21" fillId="8" borderId="52" xfId="0" applyFont="1" applyFill="1" applyBorder="1" applyAlignment="1">
      <alignment vertical="center"/>
    </xf>
    <xf numFmtId="0" fontId="0" fillId="38" borderId="13" xfId="0" applyFill="1" applyBorder="1"/>
    <xf numFmtId="0" fontId="0" fillId="38" borderId="14" xfId="0" applyFill="1" applyBorder="1"/>
    <xf numFmtId="0" fontId="0" fillId="38" borderId="15" xfId="0" applyFill="1" applyBorder="1"/>
    <xf numFmtId="0" fontId="0" fillId="38" borderId="7" xfId="0" applyFill="1" applyBorder="1"/>
    <xf numFmtId="0" fontId="0" fillId="38" borderId="8" xfId="0" applyFill="1" applyBorder="1"/>
    <xf numFmtId="0" fontId="0" fillId="38" borderId="9" xfId="0" applyFill="1" applyBorder="1"/>
    <xf numFmtId="0" fontId="0" fillId="38" borderId="32" xfId="0" applyFill="1" applyBorder="1"/>
    <xf numFmtId="0" fontId="0" fillId="38" borderId="6" xfId="0" applyFill="1" applyBorder="1"/>
    <xf numFmtId="0" fontId="0" fillId="38" borderId="33" xfId="0" applyFill="1" applyBorder="1"/>
    <xf numFmtId="0" fontId="0" fillId="38" borderId="30" xfId="0" applyFill="1" applyBorder="1"/>
    <xf numFmtId="0" fontId="0" fillId="38" borderId="10" xfId="0" applyFill="1" applyBorder="1"/>
    <xf numFmtId="0" fontId="0" fillId="38" borderId="34" xfId="0" applyFill="1" applyBorder="1"/>
    <xf numFmtId="0" fontId="0" fillId="38" borderId="35" xfId="0" applyFill="1" applyBorder="1"/>
    <xf numFmtId="0" fontId="0" fillId="38" borderId="31" xfId="0" applyFill="1" applyBorder="1"/>
    <xf numFmtId="0" fontId="0" fillId="38" borderId="48" xfId="0" applyFill="1" applyBorder="1"/>
    <xf numFmtId="0" fontId="0" fillId="38" borderId="51" xfId="0" applyFill="1" applyBorder="1"/>
    <xf numFmtId="0" fontId="0" fillId="38" borderId="11" xfId="0" applyFill="1" applyBorder="1"/>
    <xf numFmtId="0" fontId="0" fillId="38" borderId="12" xfId="0" applyFill="1" applyBorder="1"/>
    <xf numFmtId="0" fontId="0" fillId="38" borderId="1" xfId="0" applyFill="1" applyBorder="1"/>
    <xf numFmtId="0" fontId="8" fillId="0" borderId="0" xfId="0" applyFont="1" applyAlignment="1">
      <alignment horizontal="left" vertical="center"/>
    </xf>
    <xf numFmtId="0" fontId="19" fillId="0" borderId="0" xfId="0" applyFont="1" applyAlignment="1">
      <alignment vertical="center"/>
    </xf>
    <xf numFmtId="0" fontId="0" fillId="39" borderId="0" xfId="0" applyFill="1"/>
    <xf numFmtId="0" fontId="13" fillId="39" borderId="0" xfId="0" applyFont="1" applyFill="1"/>
    <xf numFmtId="0" fontId="8" fillId="0" borderId="87" xfId="0" applyFont="1" applyBorder="1" applyAlignment="1">
      <alignment horizontal="right" vertical="center"/>
    </xf>
    <xf numFmtId="1" fontId="8" fillId="0" borderId="87" xfId="0" applyNumberFormat="1" applyFont="1" applyBorder="1" applyAlignment="1">
      <alignment horizontal="right" vertical="center"/>
    </xf>
    <xf numFmtId="9" fontId="8" fillId="0" borderId="87" xfId="1" applyFont="1" applyBorder="1" applyAlignment="1">
      <alignment horizontal="right" vertical="center"/>
    </xf>
    <xf numFmtId="167" fontId="8" fillId="0" borderId="87" xfId="0" applyNumberFormat="1" applyFont="1" applyBorder="1" applyAlignment="1">
      <alignment horizontal="right" vertical="center"/>
    </xf>
    <xf numFmtId="0" fontId="8" fillId="0" borderId="0" xfId="0" applyFont="1" applyAlignment="1">
      <alignment horizontal="right" vertical="center"/>
    </xf>
    <xf numFmtId="0" fontId="0" fillId="0" borderId="93" xfId="0" applyBorder="1"/>
    <xf numFmtId="0" fontId="19" fillId="0" borderId="84" xfId="0" applyFont="1" applyBorder="1" applyAlignment="1">
      <alignment vertical="center"/>
    </xf>
    <xf numFmtId="0" fontId="0" fillId="32" borderId="0" xfId="0" applyFill="1"/>
    <xf numFmtId="0" fontId="17" fillId="32" borderId="0" xfId="0" applyFont="1" applyFill="1" applyAlignment="1">
      <alignment vertical="center"/>
    </xf>
    <xf numFmtId="0" fontId="0" fillId="0" borderId="45" xfId="0" applyBorder="1"/>
    <xf numFmtId="2" fontId="0" fillId="0" borderId="1" xfId="0" applyNumberFormat="1" applyBorder="1"/>
    <xf numFmtId="14" fontId="0" fillId="0" borderId="1" xfId="0" applyNumberFormat="1" applyBorder="1"/>
    <xf numFmtId="0" fontId="0" fillId="0" borderId="14" xfId="0" applyBorder="1" applyAlignment="1">
      <alignment horizontal="center" vertical="center"/>
    </xf>
    <xf numFmtId="0" fontId="0" fillId="0" borderId="15" xfId="0" applyBorder="1" applyAlignment="1">
      <alignment horizontal="center" vertical="center"/>
    </xf>
    <xf numFmtId="0" fontId="3" fillId="0" borderId="31" xfId="0" applyFont="1" applyBorder="1" applyAlignment="1">
      <alignment horizontal="center" vertical="center"/>
    </xf>
    <xf numFmtId="0" fontId="0" fillId="17" borderId="34" xfId="0" applyFill="1" applyBorder="1" applyAlignment="1">
      <alignment horizontal="center" vertical="center"/>
    </xf>
    <xf numFmtId="0" fontId="0" fillId="0" borderId="34" xfId="0" applyBorder="1" applyAlignment="1">
      <alignment horizontal="center" vertical="center"/>
    </xf>
    <xf numFmtId="0" fontId="3" fillId="17" borderId="35" xfId="0" applyFont="1" applyFill="1" applyBorder="1" applyAlignment="1">
      <alignment horizontal="center" vertical="center"/>
    </xf>
    <xf numFmtId="0" fontId="0" fillId="0" borderId="32" xfId="0" applyBorder="1" applyAlignment="1">
      <alignment horizontal="center" vertical="center"/>
    </xf>
    <xf numFmtId="0" fontId="0" fillId="17" borderId="6" xfId="0" applyFill="1" applyBorder="1" applyAlignment="1">
      <alignment horizontal="center" vertical="center"/>
    </xf>
    <xf numFmtId="0" fontId="0" fillId="0" borderId="6" xfId="0" applyBorder="1" applyAlignment="1">
      <alignment horizontal="center" vertical="center"/>
    </xf>
    <xf numFmtId="0" fontId="0" fillId="0" borderId="64"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0" fillId="0" borderId="33" xfId="0" applyBorder="1" applyAlignment="1">
      <alignment horizontal="center" vertical="center"/>
    </xf>
    <xf numFmtId="0" fontId="0" fillId="0" borderId="31" xfId="0" applyBorder="1" applyAlignment="1">
      <alignment horizontal="center" vertical="center"/>
    </xf>
    <xf numFmtId="0" fontId="0" fillId="0" borderId="35" xfId="0" applyBorder="1" applyAlignment="1">
      <alignment horizontal="center" vertical="center"/>
    </xf>
    <xf numFmtId="0" fontId="24" fillId="0" borderId="0" xfId="0" applyFont="1" applyAlignment="1">
      <alignment vertical="center"/>
    </xf>
    <xf numFmtId="0" fontId="14" fillId="0" borderId="0" xfId="0" applyFont="1" applyAlignment="1">
      <alignment vertical="center"/>
    </xf>
    <xf numFmtId="0" fontId="0" fillId="11" borderId="0" xfId="0" applyFill="1" applyAlignment="1">
      <alignment horizontal="center"/>
    </xf>
    <xf numFmtId="0" fontId="0" fillId="40" borderId="63" xfId="0" applyFill="1" applyBorder="1" applyAlignment="1">
      <alignment horizontal="center" vertical="center"/>
    </xf>
    <xf numFmtId="0" fontId="0" fillId="40" borderId="65" xfId="0" applyFill="1" applyBorder="1" applyAlignment="1">
      <alignment horizontal="center" vertical="center"/>
    </xf>
    <xf numFmtId="0" fontId="0" fillId="0" borderId="97" xfId="0" applyBorder="1" applyAlignment="1">
      <alignment horizontal="center" vertical="center"/>
    </xf>
    <xf numFmtId="0" fontId="0" fillId="0" borderId="98" xfId="0" applyBorder="1" applyAlignment="1">
      <alignment horizontal="center" vertical="center"/>
    </xf>
    <xf numFmtId="0" fontId="0" fillId="40" borderId="64" xfId="0" applyFill="1" applyBorder="1" applyAlignment="1">
      <alignment horizontal="center" vertical="center"/>
    </xf>
    <xf numFmtId="0" fontId="1" fillId="18" borderId="39" xfId="0" applyFont="1" applyFill="1" applyBorder="1" applyAlignment="1">
      <alignment horizontal="center"/>
    </xf>
    <xf numFmtId="0" fontId="1" fillId="18" borderId="56" xfId="0" applyFont="1" applyFill="1" applyBorder="1" applyAlignment="1">
      <alignment horizontal="center"/>
    </xf>
    <xf numFmtId="0" fontId="11" fillId="17" borderId="14" xfId="0" applyFont="1" applyFill="1" applyBorder="1" applyAlignment="1">
      <alignment horizontal="center" vertical="center"/>
    </xf>
    <xf numFmtId="0" fontId="11" fillId="17" borderId="15" xfId="0" applyFont="1" applyFill="1" applyBorder="1" applyAlignment="1">
      <alignment horizontal="center" vertical="center"/>
    </xf>
    <xf numFmtId="0" fontId="1" fillId="0" borderId="0" xfId="0" applyFont="1"/>
    <xf numFmtId="0" fontId="1" fillId="18" borderId="30" xfId="0" applyFont="1" applyFill="1" applyBorder="1" applyAlignment="1">
      <alignment horizontal="center" vertical="center"/>
    </xf>
    <xf numFmtId="0" fontId="0" fillId="11" borderId="15" xfId="0" applyFill="1" applyBorder="1" applyAlignment="1">
      <alignment horizontal="center" vertical="center"/>
    </xf>
    <xf numFmtId="14" fontId="1" fillId="0" borderId="0" xfId="0" applyNumberFormat="1" applyFont="1"/>
    <xf numFmtId="0" fontId="0" fillId="35" borderId="15" xfId="0" applyFill="1" applyBorder="1"/>
    <xf numFmtId="0" fontId="0" fillId="0" borderId="7" xfId="0" applyBorder="1"/>
    <xf numFmtId="0" fontId="0" fillId="0" borderId="8" xfId="0" applyBorder="1"/>
    <xf numFmtId="0" fontId="0" fillId="12" borderId="8" xfId="0" applyFill="1" applyBorder="1"/>
    <xf numFmtId="0" fontId="0" fillId="0" borderId="24" xfId="0" applyBorder="1"/>
    <xf numFmtId="0" fontId="0" fillId="0" borderId="10" xfId="0" applyBorder="1"/>
    <xf numFmtId="0" fontId="0" fillId="12" borderId="11" xfId="0" applyFill="1" applyBorder="1"/>
    <xf numFmtId="0" fontId="0" fillId="16" borderId="13" xfId="0" applyFill="1" applyBorder="1" applyAlignment="1">
      <alignment horizontal="center" vertical="center" wrapText="1"/>
    </xf>
    <xf numFmtId="0" fontId="0" fillId="16" borderId="14" xfId="0" applyFill="1" applyBorder="1" applyAlignment="1">
      <alignment horizontal="center" vertical="center" wrapText="1"/>
    </xf>
    <xf numFmtId="0" fontId="0" fillId="16" borderId="15" xfId="0" applyFill="1" applyBorder="1" applyAlignment="1">
      <alignment horizontal="center" vertical="center" wrapText="1"/>
    </xf>
    <xf numFmtId="170" fontId="0" fillId="12" borderId="9" xfId="0" applyNumberFormat="1" applyFill="1" applyBorder="1"/>
    <xf numFmtId="170" fontId="0" fillId="12" borderId="25" xfId="0" applyNumberFormat="1" applyFill="1" applyBorder="1"/>
    <xf numFmtId="170" fontId="0" fillId="12" borderId="12" xfId="0" applyNumberFormat="1" applyFill="1" applyBorder="1"/>
    <xf numFmtId="165" fontId="0" fillId="12" borderId="8" xfId="0" applyNumberFormat="1" applyFill="1" applyBorder="1"/>
    <xf numFmtId="165" fontId="0" fillId="12" borderId="1" xfId="0" applyNumberFormat="1" applyFill="1" applyBorder="1"/>
    <xf numFmtId="165" fontId="0" fillId="12" borderId="11" xfId="0" applyNumberFormat="1" applyFill="1" applyBorder="1"/>
    <xf numFmtId="1" fontId="0" fillId="36" borderId="19" xfId="0" applyNumberFormat="1" applyFill="1" applyBorder="1" applyAlignment="1">
      <alignment horizontal="left"/>
    </xf>
    <xf numFmtId="1" fontId="0" fillId="36" borderId="14" xfId="0" applyNumberFormat="1" applyFill="1" applyBorder="1"/>
    <xf numFmtId="1" fontId="0" fillId="36" borderId="40" xfId="0" applyNumberFormat="1" applyFill="1" applyBorder="1"/>
    <xf numFmtId="1" fontId="0" fillId="5" borderId="28" xfId="0" applyNumberFormat="1" applyFill="1" applyBorder="1" applyAlignment="1">
      <alignment horizontal="center" vertical="center"/>
    </xf>
    <xf numFmtId="1" fontId="0" fillId="36" borderId="42" xfId="0" applyNumberFormat="1" applyFill="1" applyBorder="1" applyAlignment="1">
      <alignment horizontal="left"/>
    </xf>
    <xf numFmtId="1" fontId="0" fillId="36" borderId="37" xfId="0" applyNumberFormat="1" applyFill="1" applyBorder="1" applyAlignment="1">
      <alignment horizontal="left"/>
    </xf>
    <xf numFmtId="1" fontId="0" fillId="36" borderId="48" xfId="0" applyNumberFormat="1" applyFill="1" applyBorder="1"/>
    <xf numFmtId="1" fontId="0" fillId="36" borderId="50" xfId="0" applyNumberFormat="1" applyFill="1" applyBorder="1"/>
    <xf numFmtId="1" fontId="0" fillId="36" borderId="49" xfId="0" applyNumberFormat="1" applyFill="1" applyBorder="1" applyAlignment="1">
      <alignment horizontal="left"/>
    </xf>
    <xf numFmtId="1" fontId="0" fillId="36" borderId="11" xfId="0" applyNumberFormat="1" applyFill="1" applyBorder="1"/>
    <xf numFmtId="1" fontId="0" fillId="36" borderId="12" xfId="0" applyNumberFormat="1" applyFill="1" applyBorder="1"/>
    <xf numFmtId="1" fontId="0" fillId="36" borderId="6" xfId="0" applyNumberFormat="1" applyFill="1" applyBorder="1"/>
    <xf numFmtId="1" fontId="0" fillId="5" borderId="13" xfId="0" applyNumberFormat="1" applyFill="1" applyBorder="1" applyAlignment="1">
      <alignment vertical="center"/>
    </xf>
    <xf numFmtId="1" fontId="0" fillId="5" borderId="21" xfId="0" applyNumberFormat="1" applyFill="1" applyBorder="1" applyAlignment="1">
      <alignment vertical="center"/>
    </xf>
    <xf numFmtId="1" fontId="0" fillId="36" borderId="5" xfId="0" applyNumberFormat="1" applyFill="1" applyBorder="1"/>
    <xf numFmtId="1" fontId="0" fillId="36" borderId="38" xfId="0" applyNumberFormat="1" applyFill="1" applyBorder="1"/>
    <xf numFmtId="1" fontId="0" fillId="5" borderId="15" xfId="0" applyNumberFormat="1" applyFill="1" applyBorder="1"/>
    <xf numFmtId="1" fontId="0" fillId="5" borderId="35" xfId="0" applyNumberFormat="1" applyFill="1" applyBorder="1"/>
    <xf numFmtId="1" fontId="1" fillId="8" borderId="0" xfId="0" applyNumberFormat="1" applyFont="1" applyFill="1"/>
    <xf numFmtId="167" fontId="0" fillId="38" borderId="1" xfId="0" applyNumberFormat="1" applyFill="1" applyBorder="1"/>
    <xf numFmtId="167" fontId="1" fillId="8" borderId="1" xfId="0" applyNumberFormat="1" applyFont="1" applyFill="1" applyBorder="1"/>
    <xf numFmtId="0" fontId="25" fillId="11" borderId="100" xfId="0" applyFont="1" applyFill="1" applyBorder="1" applyAlignment="1">
      <alignment horizontal="center"/>
    </xf>
    <xf numFmtId="1" fontId="0" fillId="5" borderId="34" xfId="0" applyNumberFormat="1" applyFill="1" applyBorder="1"/>
    <xf numFmtId="1" fontId="0" fillId="5" borderId="43" xfId="0" applyNumberFormat="1" applyFill="1" applyBorder="1"/>
    <xf numFmtId="0" fontId="19" fillId="0" borderId="79" xfId="0" applyFont="1" applyBorder="1" applyAlignment="1">
      <alignment vertical="center"/>
    </xf>
    <xf numFmtId="0" fontId="0" fillId="0" borderId="0" xfId="0" applyAlignment="1">
      <alignment horizontal="left" vertical="center" wrapText="1"/>
    </xf>
    <xf numFmtId="0" fontId="6" fillId="11" borderId="7"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6" fillId="11" borderId="9" xfId="0" applyFont="1" applyFill="1" applyBorder="1" applyAlignment="1">
      <alignment horizontal="center" vertical="center" wrapText="1"/>
    </xf>
    <xf numFmtId="0" fontId="6" fillId="11" borderId="104" xfId="0" applyFont="1" applyFill="1" applyBorder="1" applyAlignment="1">
      <alignment horizontal="center" vertical="center" wrapText="1"/>
    </xf>
    <xf numFmtId="0" fontId="0" fillId="0" borderId="87" xfId="0" applyBorder="1" applyAlignment="1">
      <alignment horizontal="center" vertical="center"/>
    </xf>
    <xf numFmtId="0" fontId="12" fillId="0" borderId="0" xfId="0" applyFont="1" applyAlignment="1">
      <alignment horizontal="center" vertical="center"/>
    </xf>
    <xf numFmtId="0" fontId="12" fillId="0" borderId="77" xfId="0" applyFont="1" applyBorder="1" applyAlignment="1">
      <alignment horizontal="center" vertical="center"/>
    </xf>
    <xf numFmtId="0" fontId="12" fillId="0" borderId="0" xfId="0" applyFont="1" applyAlignment="1">
      <alignment horizontal="center"/>
    </xf>
    <xf numFmtId="169" fontId="26" fillId="0" borderId="87" xfId="0" applyNumberFormat="1" applyFont="1" applyBorder="1" applyAlignment="1">
      <alignment horizontal="right" vertical="center"/>
    </xf>
    <xf numFmtId="0" fontId="26" fillId="0" borderId="87" xfId="0" applyFont="1" applyBorder="1" applyAlignment="1">
      <alignment horizontal="right" vertical="center"/>
    </xf>
    <xf numFmtId="1" fontId="26" fillId="0" borderId="87" xfId="0" applyNumberFormat="1" applyFont="1" applyBorder="1" applyAlignment="1">
      <alignment horizontal="right" vertical="center"/>
    </xf>
    <xf numFmtId="9" fontId="26" fillId="0" borderId="87" xfId="1" applyFont="1" applyBorder="1" applyAlignment="1">
      <alignment horizontal="right" vertical="center"/>
    </xf>
    <xf numFmtId="9" fontId="26" fillId="0" borderId="87" xfId="0" applyNumberFormat="1" applyFont="1" applyBorder="1" applyAlignment="1">
      <alignment horizontal="right" vertical="center"/>
    </xf>
    <xf numFmtId="170" fontId="26" fillId="0" borderId="87" xfId="0" applyNumberFormat="1" applyFont="1" applyBorder="1" applyAlignment="1">
      <alignment horizontal="right" vertical="center"/>
    </xf>
    <xf numFmtId="9" fontId="26" fillId="0" borderId="87" xfId="1" applyFont="1" applyBorder="1" applyAlignment="1">
      <alignment vertical="center"/>
    </xf>
    <xf numFmtId="169" fontId="8" fillId="0" borderId="87" xfId="0" applyNumberFormat="1" applyFont="1" applyBorder="1" applyAlignment="1">
      <alignment horizontal="right" vertical="center"/>
    </xf>
    <xf numFmtId="9" fontId="0" fillId="0" borderId="87" xfId="1" applyFont="1" applyBorder="1" applyAlignment="1">
      <alignment horizontal="right" vertical="center"/>
    </xf>
    <xf numFmtId="171" fontId="0" fillId="0" borderId="87" xfId="3" applyNumberFormat="1" applyFont="1" applyBorder="1" applyAlignment="1">
      <alignment horizontal="right" vertical="center"/>
    </xf>
    <xf numFmtId="172" fontId="0" fillId="0" borderId="87" xfId="0" applyNumberFormat="1" applyBorder="1" applyAlignment="1">
      <alignment horizontal="right" vertical="center"/>
    </xf>
    <xf numFmtId="170" fontId="0" fillId="0" borderId="87" xfId="0" applyNumberFormat="1" applyBorder="1" applyAlignment="1">
      <alignment horizontal="right" vertical="center"/>
    </xf>
    <xf numFmtId="173" fontId="0" fillId="0" borderId="87" xfId="0" applyNumberFormat="1" applyBorder="1" applyAlignment="1">
      <alignment horizontal="right" vertical="center"/>
    </xf>
    <xf numFmtId="167" fontId="0" fillId="0" borderId="1" xfId="0" applyNumberFormat="1" applyBorder="1"/>
    <xf numFmtId="0" fontId="3" fillId="0" borderId="1" xfId="0" applyFont="1" applyBorder="1" applyAlignment="1">
      <alignment horizontal="center" vertical="center"/>
    </xf>
    <xf numFmtId="0" fontId="3" fillId="0" borderId="1" xfId="0" applyFont="1" applyBorder="1"/>
    <xf numFmtId="9" fontId="0" fillId="0" borderId="1" xfId="1" applyFont="1" applyBorder="1"/>
    <xf numFmtId="0" fontId="0" fillId="0" borderId="1" xfId="1" applyNumberFormat="1" applyFont="1" applyBorder="1"/>
    <xf numFmtId="171" fontId="0" fillId="0" borderId="1" xfId="3" applyNumberFormat="1" applyFont="1" applyBorder="1"/>
    <xf numFmtId="171" fontId="0" fillId="0" borderId="1" xfId="0" applyNumberFormat="1" applyBorder="1"/>
    <xf numFmtId="172" fontId="0" fillId="0" borderId="1" xfId="0" applyNumberFormat="1" applyBorder="1"/>
    <xf numFmtId="172" fontId="0" fillId="0" borderId="1" xfId="1" applyNumberFormat="1" applyFont="1" applyBorder="1"/>
    <xf numFmtId="0" fontId="0" fillId="15" borderId="1" xfId="0" applyFill="1" applyBorder="1"/>
    <xf numFmtId="165" fontId="0" fillId="15" borderId="5" xfId="0" applyNumberFormat="1" applyFill="1" applyBorder="1"/>
    <xf numFmtId="1" fontId="0" fillId="15" borderId="5" xfId="0" applyNumberFormat="1" applyFill="1" applyBorder="1"/>
    <xf numFmtId="0" fontId="0" fillId="15" borderId="5" xfId="0" applyFill="1" applyBorder="1"/>
    <xf numFmtId="0" fontId="3" fillId="0" borderId="0" xfId="0" applyFont="1" applyAlignment="1">
      <alignment horizontal="center" vertical="center"/>
    </xf>
    <xf numFmtId="0" fontId="13" fillId="39" borderId="0" xfId="0" applyFont="1" applyFill="1" applyAlignment="1">
      <alignment horizontal="left"/>
    </xf>
    <xf numFmtId="167" fontId="0" fillId="0" borderId="0" xfId="0" applyNumberFormat="1" applyAlignment="1">
      <alignment horizontal="right" vertical="center"/>
    </xf>
    <xf numFmtId="44" fontId="0" fillId="0" borderId="1" xfId="3" applyFont="1" applyBorder="1"/>
    <xf numFmtId="0" fontId="0" fillId="0" borderId="106" xfId="0" applyBorder="1"/>
    <xf numFmtId="0" fontId="0" fillId="11" borderId="1" xfId="0" applyFill="1" applyBorder="1"/>
    <xf numFmtId="167" fontId="0" fillId="11" borderId="1" xfId="0" applyNumberFormat="1" applyFill="1" applyBorder="1"/>
    <xf numFmtId="1" fontId="0" fillId="36" borderId="13" xfId="0" applyNumberFormat="1" applyFill="1" applyBorder="1" applyAlignment="1">
      <alignment vertical="center"/>
    </xf>
    <xf numFmtId="1" fontId="0" fillId="36" borderId="21" xfId="0" applyNumberFormat="1" applyFill="1" applyBorder="1" applyAlignment="1">
      <alignment vertical="center"/>
    </xf>
    <xf numFmtId="166" fontId="9" fillId="0" borderId="89" xfId="0" applyNumberFormat="1" applyFont="1" applyBorder="1"/>
    <xf numFmtId="166" fontId="0" fillId="0" borderId="89" xfId="0" applyNumberFormat="1" applyBorder="1"/>
    <xf numFmtId="166" fontId="9" fillId="0" borderId="115" xfId="0" applyNumberFormat="1" applyFont="1" applyBorder="1" applyAlignment="1">
      <alignment horizontal="center" vertical="center"/>
    </xf>
    <xf numFmtId="166" fontId="9" fillId="0" borderId="116" xfId="0" applyNumberFormat="1" applyFont="1" applyBorder="1" applyAlignment="1">
      <alignment horizontal="center" vertical="center"/>
    </xf>
    <xf numFmtId="166" fontId="0" fillId="0" borderId="115" xfId="0" applyNumberFormat="1" applyBorder="1"/>
    <xf numFmtId="166" fontId="0" fillId="0" borderId="116" xfId="0" applyNumberFormat="1" applyBorder="1"/>
    <xf numFmtId="0" fontId="9" fillId="15" borderId="134" xfId="0" applyFont="1" applyFill="1" applyBorder="1" applyAlignment="1">
      <alignment horizontal="center" vertical="center"/>
    </xf>
    <xf numFmtId="0" fontId="8" fillId="0" borderId="0" xfId="0" applyFont="1" applyAlignment="1">
      <alignment wrapText="1"/>
    </xf>
    <xf numFmtId="0" fontId="0" fillId="14" borderId="19" xfId="0" applyFill="1" applyBorder="1" applyAlignment="1">
      <alignment horizontal="left" vertical="center"/>
    </xf>
    <xf numFmtId="0" fontId="0" fillId="14" borderId="50" xfId="0" applyFill="1" applyBorder="1"/>
    <xf numFmtId="1" fontId="0" fillId="36" borderId="28" xfId="0" applyNumberFormat="1" applyFill="1" applyBorder="1" applyAlignment="1">
      <alignment horizontal="right" vertical="center"/>
    </xf>
    <xf numFmtId="1" fontId="0" fillId="5" borderId="52" xfId="0" applyNumberFormat="1" applyFill="1" applyBorder="1" applyAlignment="1">
      <alignment horizontal="center"/>
    </xf>
    <xf numFmtId="174" fontId="0" fillId="0" borderId="1" xfId="0" applyNumberFormat="1" applyBorder="1"/>
    <xf numFmtId="14" fontId="31" fillId="42" borderId="1" xfId="0" applyNumberFormat="1" applyFont="1" applyFill="1" applyBorder="1"/>
    <xf numFmtId="0" fontId="31" fillId="42" borderId="3" xfId="0" applyFont="1" applyFill="1" applyBorder="1"/>
    <xf numFmtId="14" fontId="31" fillId="42" borderId="45" xfId="0" applyNumberFormat="1" applyFont="1" applyFill="1" applyBorder="1"/>
    <xf numFmtId="0" fontId="31" fillId="42" borderId="144" xfId="0" applyFont="1" applyFill="1" applyBorder="1"/>
    <xf numFmtId="0" fontId="0" fillId="0" borderId="19" xfId="0" applyBorder="1"/>
    <xf numFmtId="0" fontId="0" fillId="0" borderId="20" xfId="0" applyBorder="1"/>
    <xf numFmtId="0" fontId="0" fillId="0" borderId="21" xfId="0" applyBorder="1"/>
    <xf numFmtId="166" fontId="9" fillId="0" borderId="125" xfId="0" applyNumberFormat="1" applyFont="1" applyBorder="1" applyAlignment="1">
      <alignment horizontal="center" vertical="center"/>
    </xf>
    <xf numFmtId="0" fontId="33" fillId="0" borderId="0" xfId="4">
      <alignment horizontal="center" vertical="center"/>
    </xf>
    <xf numFmtId="175" fontId="0" fillId="0" borderId="0" xfId="5" applyNumberFormat="1" applyFont="1" applyAlignment="1">
      <alignment horizontal="center" vertical="center"/>
    </xf>
    <xf numFmtId="176" fontId="33" fillId="0" borderId="0" xfId="4" applyNumberFormat="1">
      <alignment horizontal="center" vertical="center"/>
    </xf>
    <xf numFmtId="2" fontId="33" fillId="0" borderId="0" xfId="4" applyNumberFormat="1">
      <alignment horizontal="center" vertical="center"/>
    </xf>
    <xf numFmtId="49" fontId="33" fillId="0" borderId="0" xfId="4" applyNumberFormat="1">
      <alignment horizontal="center" vertical="center"/>
    </xf>
    <xf numFmtId="4" fontId="0" fillId="0" borderId="0" xfId="5" applyFont="1" applyAlignment="1">
      <alignment horizontal="center" vertical="center"/>
    </xf>
    <xf numFmtId="0" fontId="35" fillId="0" borderId="0" xfId="4" applyFont="1" applyAlignment="1">
      <alignment vertical="center" wrapText="1"/>
    </xf>
    <xf numFmtId="17" fontId="33" fillId="0" borderId="0" xfId="4" applyNumberFormat="1">
      <alignment horizontal="center" vertical="center"/>
    </xf>
    <xf numFmtId="49" fontId="0" fillId="0" borderId="0" xfId="5" applyNumberFormat="1" applyFont="1" applyAlignment="1">
      <alignment horizontal="center" vertical="center"/>
    </xf>
    <xf numFmtId="0" fontId="0" fillId="39" borderId="8" xfId="0" applyFill="1" applyBorder="1"/>
    <xf numFmtId="0" fontId="0" fillId="39" borderId="3" xfId="0" applyFill="1" applyBorder="1"/>
    <xf numFmtId="0" fontId="0" fillId="39" borderId="1" xfId="0" applyFill="1" applyBorder="1"/>
    <xf numFmtId="0" fontId="0" fillId="39" borderId="17" xfId="0" applyFill="1" applyBorder="1"/>
    <xf numFmtId="0" fontId="0" fillId="39" borderId="11" xfId="0" applyFill="1" applyBorder="1"/>
    <xf numFmtId="2" fontId="36" fillId="0" borderId="0" xfId="4" applyNumberFormat="1" applyFont="1">
      <alignment horizontal="center" vertical="center"/>
    </xf>
    <xf numFmtId="176" fontId="36" fillId="0" borderId="0" xfId="4" applyNumberFormat="1" applyFont="1">
      <alignment horizontal="center" vertical="center"/>
    </xf>
    <xf numFmtId="0" fontId="36" fillId="0" borderId="0" xfId="4" applyFont="1">
      <alignment horizontal="center" vertical="center"/>
    </xf>
    <xf numFmtId="0" fontId="0" fillId="36" borderId="13" xfId="0" applyFill="1" applyBorder="1"/>
    <xf numFmtId="0" fontId="0" fillId="36" borderId="14" xfId="0" applyFill="1" applyBorder="1"/>
    <xf numFmtId="0" fontId="37" fillId="0" borderId="0" xfId="4" applyFont="1" applyAlignment="1">
      <alignment vertical="center"/>
    </xf>
    <xf numFmtId="175" fontId="33" fillId="0" borderId="0" xfId="4" applyNumberFormat="1">
      <alignment horizontal="center" vertical="center"/>
    </xf>
    <xf numFmtId="2" fontId="37" fillId="0" borderId="0" xfId="4" applyNumberFormat="1" applyFont="1" applyAlignment="1">
      <alignment vertical="center"/>
    </xf>
    <xf numFmtId="1" fontId="37" fillId="0" borderId="0" xfId="4" applyNumberFormat="1" applyFont="1" applyAlignment="1">
      <alignment vertical="center"/>
    </xf>
    <xf numFmtId="0" fontId="38" fillId="44" borderId="45" xfId="4" applyFont="1" applyFill="1" applyBorder="1" applyAlignment="1">
      <alignment horizontal="right" vertical="center" wrapText="1"/>
    </xf>
    <xf numFmtId="0" fontId="37" fillId="0" borderId="0" xfId="4" applyFont="1">
      <alignment horizontal="center" vertical="center"/>
    </xf>
    <xf numFmtId="0" fontId="38" fillId="45" borderId="1" xfId="4" applyFont="1" applyFill="1" applyBorder="1" applyAlignment="1">
      <alignment horizontal="right" vertical="center" wrapText="1"/>
    </xf>
    <xf numFmtId="0" fontId="38" fillId="44" borderId="1" xfId="4" applyFont="1" applyFill="1" applyBorder="1" applyAlignment="1">
      <alignment horizontal="right" vertical="center" wrapText="1"/>
    </xf>
    <xf numFmtId="177" fontId="33" fillId="0" borderId="0" xfId="4" applyNumberFormat="1">
      <alignment horizontal="center" vertical="center"/>
    </xf>
    <xf numFmtId="178" fontId="33" fillId="0" borderId="0" xfId="4" applyNumberFormat="1">
      <alignment horizontal="center" vertical="center"/>
    </xf>
    <xf numFmtId="1" fontId="33" fillId="0" borderId="0" xfId="4" applyNumberFormat="1">
      <alignment horizontal="center" vertical="center"/>
    </xf>
    <xf numFmtId="0" fontId="39" fillId="0" borderId="157" xfId="4" applyFont="1" applyBorder="1" applyAlignment="1">
      <alignment vertical="center" wrapText="1"/>
    </xf>
    <xf numFmtId="0" fontId="39" fillId="0" borderId="158" xfId="4" applyFont="1" applyBorder="1" applyAlignment="1">
      <alignment vertical="center" wrapText="1"/>
    </xf>
    <xf numFmtId="178" fontId="39" fillId="0" borderId="158" xfId="4" applyNumberFormat="1" applyFont="1" applyBorder="1" applyAlignment="1">
      <alignment vertical="center" wrapText="1"/>
    </xf>
    <xf numFmtId="0" fontId="39" fillId="0" borderId="21" xfId="4" applyFont="1" applyBorder="1" applyAlignment="1">
      <alignment vertical="center" wrapText="1"/>
    </xf>
    <xf numFmtId="0" fontId="22" fillId="8" borderId="19" xfId="0" applyFont="1" applyFill="1" applyBorder="1" applyAlignment="1">
      <alignment horizontal="center" vertical="center"/>
    </xf>
    <xf numFmtId="0" fontId="22" fillId="8" borderId="20" xfId="0" applyFont="1" applyFill="1" applyBorder="1" applyAlignment="1">
      <alignment horizontal="center" vertical="center"/>
    </xf>
    <xf numFmtId="0" fontId="0" fillId="0" borderId="1" xfId="0" applyBorder="1" applyAlignment="1">
      <alignment horizontal="left"/>
    </xf>
    <xf numFmtId="0" fontId="0" fillId="0" borderId="11" xfId="0" applyBorder="1" applyAlignment="1">
      <alignment horizontal="left"/>
    </xf>
    <xf numFmtId="167" fontId="11" fillId="0" borderId="0" xfId="0" applyNumberFormat="1" applyFont="1" applyAlignment="1">
      <alignment horizontal="right" vertical="center"/>
    </xf>
    <xf numFmtId="0" fontId="0" fillId="11" borderId="50" xfId="0" applyFill="1" applyBorder="1"/>
    <xf numFmtId="0" fontId="0" fillId="33" borderId="46" xfId="0" applyFill="1" applyBorder="1"/>
    <xf numFmtId="165" fontId="0" fillId="0" borderId="0" xfId="0" applyNumberFormat="1"/>
    <xf numFmtId="0" fontId="0" fillId="0" borderId="5" xfId="0" applyBorder="1"/>
    <xf numFmtId="0" fontId="0" fillId="46" borderId="19" xfId="0" applyFill="1" applyBorder="1" applyAlignment="1">
      <alignment vertical="center"/>
    </xf>
    <xf numFmtId="0" fontId="41" fillId="46" borderId="14" xfId="0" applyFont="1" applyFill="1" applyBorder="1" applyAlignment="1">
      <alignment horizontal="center" vertical="center"/>
    </xf>
    <xf numFmtId="0" fontId="41" fillId="46" borderId="14" xfId="0" applyFont="1" applyFill="1" applyBorder="1" applyAlignment="1">
      <alignment horizontal="center" vertical="center" wrapText="1"/>
    </xf>
    <xf numFmtId="0" fontId="41" fillId="46" borderId="15" xfId="0" applyFont="1" applyFill="1" applyBorder="1" applyAlignment="1">
      <alignment horizontal="center" vertical="center"/>
    </xf>
    <xf numFmtId="0" fontId="20" fillId="46" borderId="14" xfId="0" applyFont="1" applyFill="1" applyBorder="1" applyAlignment="1">
      <alignment horizontal="center" vertical="center"/>
    </xf>
    <xf numFmtId="0" fontId="20" fillId="46" borderId="14" xfId="0" applyFont="1" applyFill="1" applyBorder="1" applyAlignment="1">
      <alignment horizontal="center" vertical="center" wrapText="1"/>
    </xf>
    <xf numFmtId="0" fontId="20" fillId="46" borderId="15" xfId="0" applyFont="1" applyFill="1" applyBorder="1" applyAlignment="1">
      <alignment horizontal="center" vertical="center"/>
    </xf>
    <xf numFmtId="165" fontId="0" fillId="33" borderId="15" xfId="0" applyNumberFormat="1" applyFill="1" applyBorder="1"/>
    <xf numFmtId="0" fontId="0" fillId="33" borderId="25" xfId="0" applyFill="1" applyBorder="1"/>
    <xf numFmtId="0" fontId="0" fillId="33" borderId="38" xfId="0" applyFill="1" applyBorder="1"/>
    <xf numFmtId="0" fontId="0" fillId="33" borderId="1" xfId="0" applyFill="1" applyBorder="1"/>
    <xf numFmtId="0" fontId="0" fillId="33" borderId="5" xfId="0" applyFill="1" applyBorder="1"/>
    <xf numFmtId="0" fontId="0" fillId="47" borderId="10" xfId="0" applyFill="1" applyBorder="1" applyAlignment="1">
      <alignment vertical="center"/>
    </xf>
    <xf numFmtId="0" fontId="0" fillId="47" borderId="11" xfId="0" applyFill="1" applyBorder="1"/>
    <xf numFmtId="0" fontId="0" fillId="47" borderId="12" xfId="0" applyFill="1" applyBorder="1"/>
    <xf numFmtId="0" fontId="0" fillId="0" borderId="17" xfId="0" applyBorder="1"/>
    <xf numFmtId="0" fontId="0" fillId="13" borderId="52" xfId="0" applyFill="1" applyBorder="1" applyAlignment="1">
      <alignment vertical="center"/>
    </xf>
    <xf numFmtId="44" fontId="0" fillId="33" borderId="1" xfId="0" applyNumberFormat="1" applyFill="1" applyBorder="1"/>
    <xf numFmtId="167" fontId="15" fillId="0" borderId="162" xfId="0" applyNumberFormat="1" applyFont="1" applyBorder="1" applyAlignment="1">
      <alignment horizontal="right"/>
    </xf>
    <xf numFmtId="0" fontId="0" fillId="0" borderId="162" xfId="0" applyBorder="1"/>
    <xf numFmtId="44" fontId="0" fillId="0" borderId="0" xfId="0" applyNumberFormat="1"/>
    <xf numFmtId="0" fontId="3" fillId="0" borderId="0" xfId="0" applyFont="1"/>
    <xf numFmtId="49" fontId="0" fillId="0" borderId="1" xfId="0" applyNumberFormat="1" applyBorder="1"/>
    <xf numFmtId="165" fontId="3" fillId="0" borderId="1" xfId="1" applyNumberFormat="1" applyFont="1" applyBorder="1"/>
    <xf numFmtId="165" fontId="0" fillId="0" borderId="1" xfId="0" applyNumberFormat="1" applyBorder="1"/>
    <xf numFmtId="0" fontId="40" fillId="0" borderId="1" xfId="0" applyFont="1" applyBorder="1"/>
    <xf numFmtId="9" fontId="0" fillId="0" borderId="1" xfId="0" applyNumberFormat="1" applyBorder="1"/>
    <xf numFmtId="44" fontId="0" fillId="0" borderId="1" xfId="0" applyNumberFormat="1" applyBorder="1"/>
    <xf numFmtId="165" fontId="3" fillId="0" borderId="1" xfId="1" applyNumberFormat="1" applyFont="1" applyFill="1" applyBorder="1"/>
    <xf numFmtId="179" fontId="0" fillId="0" borderId="25" xfId="0" applyNumberFormat="1" applyBorder="1"/>
    <xf numFmtId="179" fontId="0" fillId="0" borderId="12" xfId="0" applyNumberFormat="1" applyBorder="1"/>
    <xf numFmtId="0" fontId="0" fillId="0" borderId="163" xfId="0" applyBorder="1"/>
    <xf numFmtId="0" fontId="0" fillId="50" borderId="0" xfId="0" applyFill="1"/>
    <xf numFmtId="0" fontId="0" fillId="36" borderId="0" xfId="0" applyFill="1"/>
    <xf numFmtId="0" fontId="0" fillId="16" borderId="0" xfId="0" applyFill="1"/>
    <xf numFmtId="0" fontId="0" fillId="22" borderId="0" xfId="0" applyFill="1"/>
    <xf numFmtId="0" fontId="0" fillId="29" borderId="0" xfId="0" applyFill="1"/>
    <xf numFmtId="0" fontId="0" fillId="21" borderId="0" xfId="0" applyFill="1"/>
    <xf numFmtId="0" fontId="42" fillId="48" borderId="0" xfId="0" applyFont="1" applyFill="1"/>
    <xf numFmtId="0" fontId="0" fillId="23" borderId="0" xfId="0" applyFill="1"/>
    <xf numFmtId="0" fontId="0" fillId="49" borderId="0" xfId="0" applyFill="1"/>
    <xf numFmtId="0" fontId="0" fillId="51" borderId="0" xfId="0" applyFill="1"/>
    <xf numFmtId="0" fontId="0" fillId="43" borderId="0" xfId="0" applyFill="1"/>
    <xf numFmtId="0" fontId="0" fillId="0" borderId="165" xfId="0" applyBorder="1"/>
    <xf numFmtId="44" fontId="0" fillId="0" borderId="165" xfId="0" applyNumberFormat="1" applyBorder="1"/>
    <xf numFmtId="0" fontId="3" fillId="0" borderId="165" xfId="0" applyFont="1" applyBorder="1"/>
    <xf numFmtId="44" fontId="0" fillId="0" borderId="165" xfId="3" applyFont="1" applyBorder="1"/>
    <xf numFmtId="174" fontId="0" fillId="0" borderId="165" xfId="3" applyNumberFormat="1" applyFont="1" applyBorder="1"/>
    <xf numFmtId="174" fontId="0" fillId="0" borderId="165" xfId="0" applyNumberFormat="1" applyBorder="1"/>
    <xf numFmtId="0" fontId="0" fillId="0" borderId="164" xfId="0" applyBorder="1"/>
    <xf numFmtId="0" fontId="0" fillId="14" borderId="32" xfId="0" applyFill="1" applyBorder="1" applyAlignment="1">
      <alignment horizontal="left" vertical="center"/>
    </xf>
    <xf numFmtId="0" fontId="0" fillId="14" borderId="6" xfId="0" applyFill="1" applyBorder="1"/>
    <xf numFmtId="0" fontId="0" fillId="14" borderId="33" xfId="0" applyFill="1" applyBorder="1"/>
    <xf numFmtId="0" fontId="0" fillId="14" borderId="5" xfId="0" applyFill="1" applyBorder="1"/>
    <xf numFmtId="0" fontId="0" fillId="0" borderId="14" xfId="0" applyBorder="1"/>
    <xf numFmtId="0" fontId="0" fillId="14" borderId="26" xfId="0" applyFill="1" applyBorder="1" applyAlignment="1">
      <alignment horizontal="left" vertical="center"/>
    </xf>
    <xf numFmtId="0" fontId="0" fillId="14" borderId="166" xfId="0" applyFill="1" applyBorder="1" applyAlignment="1">
      <alignment horizontal="left" vertical="center"/>
    </xf>
    <xf numFmtId="180" fontId="15" fillId="0" borderId="86" xfId="0" applyNumberFormat="1" applyFont="1" applyBorder="1"/>
    <xf numFmtId="180" fontId="0" fillId="0" borderId="0" xfId="0" applyNumberFormat="1"/>
    <xf numFmtId="44" fontId="0" fillId="0" borderId="0" xfId="3" applyFont="1"/>
    <xf numFmtId="171" fontId="0" fillId="0" borderId="0" xfId="3" applyNumberFormat="1" applyFont="1"/>
    <xf numFmtId="171" fontId="12" fillId="0" borderId="0" xfId="3" applyNumberFormat="1" applyFont="1" applyAlignment="1">
      <alignment vertical="center"/>
    </xf>
    <xf numFmtId="171" fontId="0" fillId="2" borderId="28" xfId="3" applyNumberFormat="1" applyFont="1" applyFill="1" applyBorder="1" applyAlignment="1">
      <alignment horizontal="center" vertical="center"/>
    </xf>
    <xf numFmtId="171" fontId="0" fillId="14" borderId="25" xfId="3" applyNumberFormat="1" applyFont="1" applyFill="1" applyBorder="1"/>
    <xf numFmtId="171" fontId="0" fillId="14" borderId="12" xfId="3" applyNumberFormat="1" applyFont="1" applyFill="1" applyBorder="1"/>
    <xf numFmtId="171" fontId="0" fillId="14" borderId="40" xfId="3" applyNumberFormat="1" applyFont="1" applyFill="1" applyBorder="1"/>
    <xf numFmtId="171" fontId="0" fillId="2" borderId="20" xfId="3" applyNumberFormat="1" applyFont="1" applyFill="1" applyBorder="1" applyAlignment="1">
      <alignment horizontal="center"/>
    </xf>
    <xf numFmtId="171" fontId="0" fillId="14" borderId="142" xfId="3" applyNumberFormat="1" applyFont="1" applyFill="1" applyBorder="1"/>
    <xf numFmtId="171" fontId="0" fillId="2" borderId="141" xfId="3" applyNumberFormat="1" applyFont="1" applyFill="1" applyBorder="1" applyAlignment="1">
      <alignment horizontal="center"/>
    </xf>
    <xf numFmtId="171" fontId="0" fillId="14" borderId="50" xfId="3" applyNumberFormat="1" applyFont="1" applyFill="1" applyBorder="1"/>
    <xf numFmtId="171" fontId="0" fillId="14" borderId="46" xfId="3" applyNumberFormat="1" applyFont="1" applyFill="1" applyBorder="1"/>
    <xf numFmtId="171" fontId="0" fillId="14" borderId="9" xfId="3" applyNumberFormat="1" applyFont="1" applyFill="1" applyBorder="1"/>
    <xf numFmtId="171" fontId="0" fillId="14" borderId="43" xfId="3" applyNumberFormat="1" applyFont="1" applyFill="1" applyBorder="1"/>
    <xf numFmtId="171" fontId="0" fillId="3" borderId="141" xfId="3" applyNumberFormat="1" applyFont="1" applyFill="1" applyBorder="1" applyAlignment="1">
      <alignment horizontal="center"/>
    </xf>
    <xf numFmtId="171" fontId="0" fillId="9" borderId="38" xfId="3" applyNumberFormat="1" applyFont="1" applyFill="1" applyBorder="1"/>
    <xf numFmtId="171" fontId="0" fillId="9" borderId="15" xfId="3" applyNumberFormat="1" applyFont="1" applyFill="1" applyBorder="1"/>
    <xf numFmtId="171" fontId="1" fillId="8" borderId="0" xfId="3" applyNumberFormat="1" applyFont="1" applyFill="1"/>
    <xf numFmtId="0" fontId="14" fillId="0" borderId="0" xfId="0" applyFont="1"/>
    <xf numFmtId="0" fontId="0" fillId="0" borderId="21" xfId="0" applyBorder="1" applyAlignment="1">
      <alignment horizontal="center"/>
    </xf>
    <xf numFmtId="0" fontId="0" fillId="0" borderId="0" xfId="0" applyAlignment="1">
      <alignment horizontal="center" vertical="center"/>
    </xf>
    <xf numFmtId="9" fontId="0" fillId="0" borderId="25" xfId="1" applyFont="1" applyBorder="1"/>
    <xf numFmtId="9" fontId="0" fillId="0" borderId="12" xfId="1" applyFont="1" applyBorder="1"/>
    <xf numFmtId="44" fontId="26" fillId="0" borderId="87" xfId="3" applyFont="1" applyBorder="1" applyAlignment="1">
      <alignment horizontal="right" vertical="center"/>
    </xf>
    <xf numFmtId="171" fontId="26" fillId="0" borderId="87" xfId="3" applyNumberFormat="1" applyFont="1" applyBorder="1" applyAlignment="1">
      <alignment horizontal="right" vertical="center"/>
    </xf>
    <xf numFmtId="171" fontId="27" fillId="0" borderId="87" xfId="3" applyNumberFormat="1" applyFont="1" applyBorder="1" applyAlignment="1">
      <alignment horizontal="right" vertical="center"/>
    </xf>
    <xf numFmtId="171" fontId="26" fillId="0" borderId="87" xfId="3" applyNumberFormat="1" applyFont="1" applyBorder="1" applyAlignment="1">
      <alignment vertical="center"/>
    </xf>
    <xf numFmtId="9" fontId="8" fillId="0" borderId="87" xfId="1" applyFont="1" applyBorder="1"/>
    <xf numFmtId="171" fontId="8" fillId="0" borderId="87" xfId="3" applyNumberFormat="1" applyFont="1" applyBorder="1" applyAlignment="1">
      <alignment horizontal="right" vertical="center"/>
    </xf>
    <xf numFmtId="171" fontId="8" fillId="0" borderId="87" xfId="3" applyNumberFormat="1" applyFont="1" applyBorder="1"/>
    <xf numFmtId="0" fontId="0" fillId="22" borderId="0" xfId="0" applyFill="1" applyAlignment="1">
      <alignment vertical="center"/>
    </xf>
    <xf numFmtId="0" fontId="0" fillId="22" borderId="77" xfId="0" applyFill="1" applyBorder="1" applyAlignment="1">
      <alignment vertical="center"/>
    </xf>
    <xf numFmtId="0" fontId="0" fillId="31" borderId="0" xfId="0" applyFill="1" applyAlignment="1">
      <alignment vertical="center"/>
    </xf>
    <xf numFmtId="0" fontId="0" fillId="31" borderId="77" xfId="0" applyFill="1" applyBorder="1" applyAlignment="1">
      <alignment vertical="center"/>
    </xf>
    <xf numFmtId="0" fontId="0" fillId="29" borderId="0" xfId="0" applyFill="1" applyAlignment="1">
      <alignment vertical="center"/>
    </xf>
    <xf numFmtId="0" fontId="0" fillId="29" borderId="77" xfId="0" applyFill="1" applyBorder="1" applyAlignment="1">
      <alignment vertical="center"/>
    </xf>
    <xf numFmtId="0" fontId="0" fillId="30" borderId="0" xfId="0" applyFill="1" applyAlignment="1">
      <alignment vertical="center"/>
    </xf>
    <xf numFmtId="0" fontId="0" fillId="30" borderId="77" xfId="0" applyFill="1" applyBorder="1" applyAlignment="1">
      <alignment vertical="center"/>
    </xf>
    <xf numFmtId="0" fontId="0" fillId="21" borderId="0" xfId="0" applyFill="1" applyAlignment="1">
      <alignment vertical="center"/>
    </xf>
    <xf numFmtId="0" fontId="0" fillId="21" borderId="77" xfId="0" applyFill="1" applyBorder="1" applyAlignment="1">
      <alignment vertical="center"/>
    </xf>
    <xf numFmtId="0" fontId="0" fillId="23" borderId="0" xfId="0" applyFill="1" applyAlignment="1">
      <alignment vertical="center"/>
    </xf>
    <xf numFmtId="0" fontId="0" fillId="23" borderId="77" xfId="0" applyFill="1" applyBorder="1" applyAlignment="1">
      <alignment vertical="center"/>
    </xf>
    <xf numFmtId="0" fontId="12" fillId="43" borderId="0" xfId="0" applyFont="1" applyFill="1" applyAlignment="1">
      <alignment vertical="center" wrapText="1"/>
    </xf>
    <xf numFmtId="0" fontId="12" fillId="43" borderId="77" xfId="0" applyFont="1" applyFill="1" applyBorder="1" applyAlignment="1">
      <alignment vertical="center" wrapText="1"/>
    </xf>
    <xf numFmtId="0" fontId="0" fillId="26" borderId="79" xfId="0" applyFill="1" applyBorder="1" applyAlignment="1">
      <alignment vertical="center"/>
    </xf>
    <xf numFmtId="0" fontId="0" fillId="26" borderId="77" xfId="0" applyFill="1" applyBorder="1" applyAlignment="1">
      <alignment vertical="center"/>
    </xf>
    <xf numFmtId="0" fontId="0" fillId="28" borderId="0" xfId="0" applyFill="1" applyAlignment="1">
      <alignment vertical="center"/>
    </xf>
    <xf numFmtId="0" fontId="0" fillId="28" borderId="77" xfId="0" applyFill="1" applyBorder="1" applyAlignment="1">
      <alignment vertical="center"/>
    </xf>
    <xf numFmtId="0" fontId="0" fillId="27" borderId="79" xfId="0" applyFill="1" applyBorder="1" applyAlignment="1">
      <alignment vertical="center"/>
    </xf>
    <xf numFmtId="0" fontId="0" fillId="27" borderId="77" xfId="0" applyFill="1" applyBorder="1" applyAlignment="1">
      <alignment vertical="center"/>
    </xf>
    <xf numFmtId="0" fontId="0" fillId="25" borderId="79" xfId="0" applyFill="1" applyBorder="1" applyAlignment="1">
      <alignment vertical="center"/>
    </xf>
    <xf numFmtId="0" fontId="0" fillId="25" borderId="77" xfId="0" applyFill="1" applyBorder="1" applyAlignment="1">
      <alignment vertical="center"/>
    </xf>
    <xf numFmtId="14" fontId="43" fillId="32" borderId="1" xfId="0" applyNumberFormat="1" applyFont="1" applyFill="1" applyBorder="1"/>
    <xf numFmtId="0" fontId="43" fillId="32" borderId="1" xfId="0" applyFont="1" applyFill="1" applyBorder="1"/>
    <xf numFmtId="0" fontId="43" fillId="32" borderId="5" xfId="0" applyFont="1" applyFill="1" applyBorder="1"/>
    <xf numFmtId="0" fontId="0" fillId="0" borderId="25" xfId="0" applyBorder="1"/>
    <xf numFmtId="0" fontId="0" fillId="0" borderId="12" xfId="0" applyBorder="1"/>
    <xf numFmtId="0" fontId="0" fillId="0" borderId="199" xfId="0" applyBorder="1"/>
    <xf numFmtId="0" fontId="3" fillId="0" borderId="1" xfId="0" applyFont="1" applyBorder="1" applyAlignment="1">
      <alignment vertical="center"/>
    </xf>
    <xf numFmtId="0" fontId="29" fillId="0" borderId="1" xfId="0" applyFont="1" applyBorder="1"/>
    <xf numFmtId="0" fontId="30" fillId="0" borderId="1" xfId="0" applyFont="1" applyBorder="1"/>
    <xf numFmtId="0" fontId="0" fillId="0" borderId="168" xfId="0" applyBorder="1" applyAlignment="1">
      <alignment horizontal="center" vertical="center"/>
    </xf>
    <xf numFmtId="0" fontId="10" fillId="0" borderId="168" xfId="0" applyFont="1" applyBorder="1" applyAlignment="1">
      <alignment horizontal="center" vertical="center"/>
    </xf>
    <xf numFmtId="0" fontId="10" fillId="0" borderId="168" xfId="0" applyFont="1" applyBorder="1" applyAlignment="1">
      <alignment vertical="center"/>
    </xf>
    <xf numFmtId="171" fontId="10" fillId="0" borderId="168" xfId="3" applyNumberFormat="1" applyFont="1" applyBorder="1" applyAlignment="1">
      <alignment vertical="center"/>
    </xf>
    <xf numFmtId="165" fontId="10" fillId="0" borderId="168" xfId="0" applyNumberFormat="1" applyFont="1" applyBorder="1" applyAlignment="1">
      <alignment vertical="center"/>
    </xf>
    <xf numFmtId="0" fontId="0" fillId="0" borderId="13" xfId="0" applyBorder="1"/>
    <xf numFmtId="0" fontId="0" fillId="0" borderId="104" xfId="0" applyBorder="1"/>
    <xf numFmtId="0" fontId="0" fillId="0" borderId="204" xfId="0" applyBorder="1" applyAlignment="1">
      <alignment horizontal="center" vertical="center"/>
    </xf>
    <xf numFmtId="0" fontId="3" fillId="0" borderId="6" xfId="0" applyFont="1" applyBorder="1" applyAlignment="1">
      <alignment vertical="center"/>
    </xf>
    <xf numFmtId="0" fontId="0" fillId="0" borderId="194" xfId="0" applyBorder="1"/>
    <xf numFmtId="0" fontId="3" fillId="52" borderId="1" xfId="0" applyFont="1" applyFill="1" applyBorder="1"/>
    <xf numFmtId="0" fontId="0" fillId="0" borderId="1" xfId="0" pivotButton="1" applyBorder="1"/>
    <xf numFmtId="0" fontId="10" fillId="0" borderId="204" xfId="0" applyFont="1" applyBorder="1" applyAlignment="1">
      <alignment horizontal="center" vertical="center"/>
    </xf>
    <xf numFmtId="0" fontId="10" fillId="0" borderId="204" xfId="0" applyFont="1" applyBorder="1" applyAlignment="1">
      <alignment vertical="center"/>
    </xf>
    <xf numFmtId="165" fontId="10" fillId="0" borderId="204" xfId="0" applyNumberFormat="1" applyFont="1" applyBorder="1" applyAlignment="1">
      <alignment vertical="center"/>
    </xf>
    <xf numFmtId="171" fontId="10" fillId="0" borderId="204" xfId="3" applyNumberFormat="1" applyFont="1" applyBorder="1" applyAlignment="1">
      <alignment vertical="center"/>
    </xf>
    <xf numFmtId="0" fontId="10" fillId="0" borderId="180" xfId="0" applyFont="1" applyBorder="1" applyAlignment="1">
      <alignment horizontal="center" vertical="center"/>
    </xf>
    <xf numFmtId="0" fontId="10" fillId="0" borderId="180" xfId="0" applyFont="1" applyBorder="1" applyAlignment="1">
      <alignment vertical="center"/>
    </xf>
    <xf numFmtId="165" fontId="10" fillId="0" borderId="180" xfId="0" applyNumberFormat="1" applyFont="1" applyBorder="1" applyAlignment="1">
      <alignment vertical="center"/>
    </xf>
    <xf numFmtId="171" fontId="10" fillId="0" borderId="180" xfId="3" applyNumberFormat="1" applyFont="1" applyBorder="1" applyAlignment="1">
      <alignment vertical="center"/>
    </xf>
    <xf numFmtId="44" fontId="0" fillId="11" borderId="1" xfId="3" applyFont="1" applyFill="1" applyBorder="1"/>
    <xf numFmtId="0" fontId="0" fillId="0" borderId="165" xfId="0" applyBorder="1" applyAlignment="1">
      <alignment horizontal="left"/>
    </xf>
    <xf numFmtId="1" fontId="10" fillId="0" borderId="200" xfId="0" applyNumberFormat="1" applyFont="1" applyBorder="1" applyAlignment="1">
      <alignment horizontal="center" vertical="center"/>
    </xf>
    <xf numFmtId="1" fontId="10" fillId="0" borderId="218" xfId="0" applyNumberFormat="1" applyFont="1" applyBorder="1" applyAlignment="1">
      <alignment horizontal="center" vertical="center"/>
    </xf>
    <xf numFmtId="1" fontId="10" fillId="0" borderId="213" xfId="0" applyNumberFormat="1" applyFont="1" applyBorder="1" applyAlignment="1">
      <alignment horizontal="center" vertical="center"/>
    </xf>
    <xf numFmtId="1" fontId="0" fillId="0" borderId="0" xfId="0" applyNumberFormat="1" applyAlignment="1">
      <alignment horizontal="center" vertical="center"/>
    </xf>
    <xf numFmtId="1" fontId="0" fillId="0" borderId="218" xfId="0" applyNumberFormat="1" applyBorder="1" applyAlignment="1">
      <alignment horizontal="center" vertical="center"/>
    </xf>
    <xf numFmtId="1" fontId="0" fillId="0" borderId="213" xfId="0" applyNumberFormat="1" applyBorder="1" applyAlignment="1">
      <alignment horizontal="center" vertical="center"/>
    </xf>
    <xf numFmtId="0" fontId="0" fillId="0" borderId="194" xfId="0" pivotButton="1" applyBorder="1"/>
    <xf numFmtId="0" fontId="33" fillId="0" borderId="0" xfId="4" applyAlignment="1">
      <alignment horizontal="right" vertical="center"/>
    </xf>
    <xf numFmtId="0" fontId="0" fillId="10" borderId="14" xfId="0" applyFill="1" applyBorder="1"/>
    <xf numFmtId="0" fontId="0" fillId="55" borderId="13" xfId="0" applyFill="1" applyBorder="1"/>
    <xf numFmtId="0" fontId="0" fillId="55" borderId="14" xfId="0" applyFill="1" applyBorder="1"/>
    <xf numFmtId="0" fontId="0" fillId="55" borderId="15" xfId="0" applyFill="1" applyBorder="1"/>
    <xf numFmtId="0" fontId="0" fillId="10" borderId="19" xfId="0" applyFill="1" applyBorder="1" applyAlignment="1">
      <alignment vertical="center"/>
    </xf>
    <xf numFmtId="171" fontId="0" fillId="10" borderId="40" xfId="3" applyNumberFormat="1" applyFont="1" applyFill="1" applyBorder="1"/>
    <xf numFmtId="16" fontId="0" fillId="55" borderId="13" xfId="0" applyNumberFormat="1" applyFill="1" applyBorder="1"/>
    <xf numFmtId="0" fontId="0" fillId="11" borderId="37" xfId="0" applyFill="1" applyBorder="1"/>
    <xf numFmtId="0" fontId="0" fillId="11" borderId="19" xfId="0" applyFill="1" applyBorder="1"/>
    <xf numFmtId="0" fontId="0" fillId="11" borderId="20" xfId="0" applyFill="1" applyBorder="1"/>
    <xf numFmtId="0" fontId="0" fillId="11" borderId="8" xfId="0" applyFill="1" applyBorder="1"/>
    <xf numFmtId="0" fontId="0" fillId="11" borderId="11" xfId="0" applyFill="1" applyBorder="1"/>
    <xf numFmtId="171" fontId="0" fillId="0" borderId="0" xfId="3" applyNumberFormat="1" applyFont="1" applyBorder="1" applyAlignment="1">
      <alignment horizontal="right" vertical="center"/>
    </xf>
    <xf numFmtId="169" fontId="0" fillId="33" borderId="1" xfId="0" applyNumberFormat="1" applyFill="1" applyBorder="1"/>
    <xf numFmtId="169" fontId="0" fillId="33" borderId="2" xfId="0" applyNumberFormat="1" applyFill="1" applyBorder="1"/>
    <xf numFmtId="0" fontId="13" fillId="39" borderId="0" xfId="0" applyFont="1" applyFill="1" applyAlignment="1">
      <alignment vertical="center"/>
    </xf>
    <xf numFmtId="0" fontId="0" fillId="0" borderId="167" xfId="0" applyBorder="1"/>
    <xf numFmtId="0" fontId="0" fillId="0" borderId="173" xfId="0" applyBorder="1"/>
    <xf numFmtId="171" fontId="0" fillId="0" borderId="0" xfId="3" applyNumberFormat="1" applyFont="1" applyBorder="1" applyAlignment="1">
      <alignment vertical="center"/>
    </xf>
    <xf numFmtId="0" fontId="21" fillId="60" borderId="7" xfId="0" applyFont="1" applyFill="1" applyBorder="1" applyAlignment="1">
      <alignment horizontal="left"/>
    </xf>
    <xf numFmtId="169" fontId="0" fillId="9" borderId="8" xfId="0" applyNumberFormat="1" applyFill="1" applyBorder="1"/>
    <xf numFmtId="2" fontId="0" fillId="33" borderId="9" xfId="0" applyNumberFormat="1" applyFill="1" applyBorder="1"/>
    <xf numFmtId="2" fontId="0" fillId="33" borderId="24" xfId="0" applyNumberFormat="1" applyFill="1" applyBorder="1"/>
    <xf numFmtId="2" fontId="0" fillId="33" borderId="25" xfId="0" applyNumberFormat="1" applyFill="1" applyBorder="1"/>
    <xf numFmtId="2" fontId="0" fillId="33" borderId="10" xfId="0" applyNumberFormat="1" applyFill="1" applyBorder="1"/>
    <xf numFmtId="169" fontId="0" fillId="33" borderId="11" xfId="0" applyNumberFormat="1" applyFill="1" applyBorder="1"/>
    <xf numFmtId="2" fontId="0" fillId="33" borderId="12" xfId="0" applyNumberFormat="1" applyFill="1" applyBorder="1"/>
    <xf numFmtId="0" fontId="21" fillId="60" borderId="13" xfId="0" applyFont="1" applyFill="1" applyBorder="1"/>
    <xf numFmtId="169" fontId="0" fillId="9" borderId="14" xfId="0" applyNumberFormat="1" applyFill="1" applyBorder="1"/>
    <xf numFmtId="0" fontId="21" fillId="60" borderId="14" xfId="0" applyFont="1" applyFill="1" applyBorder="1"/>
    <xf numFmtId="0" fontId="21" fillId="60" borderId="15" xfId="0" applyFont="1" applyFill="1" applyBorder="1"/>
    <xf numFmtId="0" fontId="21" fillId="60" borderId="13" xfId="0" applyFont="1" applyFill="1" applyBorder="1" applyAlignment="1">
      <alignment horizontal="left"/>
    </xf>
    <xf numFmtId="169" fontId="0" fillId="33" borderId="14" xfId="0" applyNumberFormat="1" applyFill="1" applyBorder="1"/>
    <xf numFmtId="2" fontId="0" fillId="33" borderId="15" xfId="0" applyNumberFormat="1" applyFill="1" applyBorder="1"/>
    <xf numFmtId="169" fontId="0" fillId="9" borderId="36" xfId="0" applyNumberFormat="1" applyFill="1" applyBorder="1"/>
    <xf numFmtId="0" fontId="0" fillId="8" borderId="27" xfId="0" applyFill="1" applyBorder="1"/>
    <xf numFmtId="0" fontId="0" fillId="8" borderId="0" xfId="0" applyFill="1"/>
    <xf numFmtId="169" fontId="0" fillId="33" borderId="70" xfId="0" applyNumberFormat="1" applyFill="1" applyBorder="1"/>
    <xf numFmtId="0" fontId="0" fillId="8" borderId="245" xfId="0" applyFill="1" applyBorder="1"/>
    <xf numFmtId="169" fontId="0" fillId="33" borderId="36" xfId="0" applyNumberFormat="1" applyFill="1" applyBorder="1"/>
    <xf numFmtId="0" fontId="21" fillId="60" borderId="10" xfId="0" applyFont="1" applyFill="1" applyBorder="1" applyAlignment="1">
      <alignment horizontal="left"/>
    </xf>
    <xf numFmtId="0" fontId="0" fillId="8" borderId="246" xfId="0" applyFill="1" applyBorder="1"/>
    <xf numFmtId="0" fontId="21" fillId="34" borderId="23" xfId="0" applyFont="1" applyFill="1" applyBorder="1"/>
    <xf numFmtId="0" fontId="21" fillId="34" borderId="24" xfId="0" applyFont="1" applyFill="1" applyBorder="1"/>
    <xf numFmtId="49" fontId="0" fillId="19" borderId="25" xfId="0" applyNumberFormat="1" applyFill="1" applyBorder="1" applyAlignment="1">
      <alignment horizontal="center" vertical="center"/>
    </xf>
    <xf numFmtId="49" fontId="0" fillId="19" borderId="25" xfId="0" applyNumberFormat="1" applyFill="1" applyBorder="1" applyAlignment="1">
      <alignment horizontal="center"/>
    </xf>
    <xf numFmtId="0" fontId="21" fillId="34" borderId="10" xfId="0" applyFont="1" applyFill="1" applyBorder="1"/>
    <xf numFmtId="49" fontId="0" fillId="19" borderId="12" xfId="0" applyNumberFormat="1" applyFill="1" applyBorder="1" applyAlignment="1">
      <alignment horizontal="center"/>
    </xf>
    <xf numFmtId="0" fontId="21" fillId="61" borderId="7" xfId="0" applyFont="1" applyFill="1" applyBorder="1" applyAlignment="1">
      <alignment horizontal="center"/>
    </xf>
    <xf numFmtId="165" fontId="0" fillId="47" borderId="9" xfId="0" applyNumberFormat="1" applyFill="1" applyBorder="1"/>
    <xf numFmtId="0" fontId="21" fillId="61" borderId="24" xfId="0" applyFont="1" applyFill="1" applyBorder="1" applyAlignment="1">
      <alignment horizontal="right"/>
    </xf>
    <xf numFmtId="165" fontId="0" fillId="47" borderId="25" xfId="0" applyNumberFormat="1" applyFill="1" applyBorder="1"/>
    <xf numFmtId="0" fontId="21" fillId="61" borderId="24" xfId="0" applyFont="1" applyFill="1" applyBorder="1"/>
    <xf numFmtId="165" fontId="0" fillId="20" borderId="25" xfId="0" applyNumberFormat="1" applyFill="1" applyBorder="1"/>
    <xf numFmtId="0" fontId="21" fillId="61" borderId="10" xfId="0" applyFont="1" applyFill="1" applyBorder="1" applyAlignment="1">
      <alignment horizontal="right"/>
    </xf>
    <xf numFmtId="165" fontId="0" fillId="20" borderId="12" xfId="0" applyNumberFormat="1" applyFill="1" applyBorder="1"/>
    <xf numFmtId="0" fontId="21" fillId="18" borderId="23" xfId="0" applyFont="1" applyFill="1" applyBorder="1"/>
    <xf numFmtId="0" fontId="21" fillId="18" borderId="24" xfId="0" applyFont="1" applyFill="1" applyBorder="1"/>
    <xf numFmtId="2" fontId="0" fillId="58" borderId="25" xfId="0" applyNumberFormat="1" applyFill="1" applyBorder="1"/>
    <xf numFmtId="49" fontId="0" fillId="17" borderId="25" xfId="0" applyNumberFormat="1" applyFill="1" applyBorder="1" applyAlignment="1">
      <alignment horizontal="center"/>
    </xf>
    <xf numFmtId="0" fontId="21" fillId="18" borderId="10" xfId="0" applyFont="1" applyFill="1" applyBorder="1"/>
    <xf numFmtId="49" fontId="0" fillId="17" borderId="12" xfId="0" applyNumberFormat="1" applyFill="1" applyBorder="1" applyAlignment="1">
      <alignment horizontal="center"/>
    </xf>
    <xf numFmtId="0" fontId="21" fillId="60" borderId="23" xfId="0" applyFont="1" applyFill="1" applyBorder="1"/>
    <xf numFmtId="0" fontId="21" fillId="60" borderId="24" xfId="0" applyFont="1" applyFill="1" applyBorder="1" applyAlignment="1">
      <alignment horizontal="left"/>
    </xf>
    <xf numFmtId="2" fontId="0" fillId="33" borderId="25" xfId="0" applyNumberFormat="1" applyFill="1" applyBorder="1" applyAlignment="1">
      <alignment horizontal="center"/>
    </xf>
    <xf numFmtId="2" fontId="0" fillId="33" borderId="12" xfId="0" applyNumberFormat="1" applyFill="1" applyBorder="1" applyAlignment="1">
      <alignment horizontal="center"/>
    </xf>
    <xf numFmtId="49" fontId="0" fillId="19" borderId="25" xfId="0" applyNumberFormat="1" applyFill="1" applyBorder="1" applyAlignment="1">
      <alignment vertical="center"/>
    </xf>
    <xf numFmtId="0" fontId="0" fillId="19" borderId="25" xfId="0" applyFill="1" applyBorder="1" applyAlignment="1">
      <alignment vertical="center"/>
    </xf>
    <xf numFmtId="9" fontId="0" fillId="19" borderId="25" xfId="1" applyFont="1" applyFill="1" applyBorder="1" applyAlignment="1">
      <alignment vertical="center"/>
    </xf>
    <xf numFmtId="44" fontId="0" fillId="19" borderId="12" xfId="3" applyFont="1" applyFill="1" applyBorder="1" applyAlignment="1">
      <alignment vertical="center"/>
    </xf>
    <xf numFmtId="0" fontId="21" fillId="34" borderId="69" xfId="0" applyFont="1" applyFill="1" applyBorder="1" applyAlignment="1">
      <alignment horizontal="center"/>
    </xf>
    <xf numFmtId="0" fontId="21" fillId="18" borderId="69" xfId="0" applyFont="1" applyFill="1" applyBorder="1" applyAlignment="1">
      <alignment horizontal="center"/>
    </xf>
    <xf numFmtId="0" fontId="21" fillId="60" borderId="69" xfId="0" applyFont="1" applyFill="1" applyBorder="1" applyAlignment="1">
      <alignment horizontal="center"/>
    </xf>
    <xf numFmtId="0" fontId="0" fillId="0" borderId="2" xfId="0" applyBorder="1" applyAlignment="1">
      <alignment horizontal="left" vertical="center"/>
    </xf>
    <xf numFmtId="0" fontId="0" fillId="0" borderId="2" xfId="0" applyBorder="1"/>
    <xf numFmtId="0" fontId="0" fillId="0" borderId="3" xfId="0" applyBorder="1"/>
    <xf numFmtId="169" fontId="0" fillId="0" borderId="165" xfId="0" applyNumberFormat="1" applyBorder="1"/>
    <xf numFmtId="0" fontId="0" fillId="0" borderId="248" xfId="0" applyBorder="1" applyAlignment="1">
      <alignment horizontal="right"/>
    </xf>
    <xf numFmtId="0" fontId="3" fillId="20" borderId="69" xfId="0" applyFont="1" applyFill="1" applyBorder="1" applyAlignment="1">
      <alignment horizontal="center"/>
    </xf>
    <xf numFmtId="1" fontId="3" fillId="20" borderId="9" xfId="0" applyNumberFormat="1" applyFont="1" applyFill="1" applyBorder="1" applyAlignment="1">
      <alignment horizontal="center"/>
    </xf>
    <xf numFmtId="0" fontId="3" fillId="20" borderId="19" xfId="0" applyFont="1" applyFill="1" applyBorder="1" applyAlignment="1">
      <alignment horizontal="center"/>
    </xf>
    <xf numFmtId="1" fontId="3" fillId="20" borderId="15" xfId="0" applyNumberFormat="1" applyFont="1" applyFill="1" applyBorder="1" applyAlignment="1">
      <alignment horizontal="center"/>
    </xf>
    <xf numFmtId="0" fontId="3" fillId="20" borderId="250" xfId="0" applyFont="1" applyFill="1" applyBorder="1" applyAlignment="1">
      <alignment horizontal="center"/>
    </xf>
    <xf numFmtId="1" fontId="3" fillId="20" borderId="46" xfId="0" applyNumberFormat="1" applyFont="1" applyFill="1" applyBorder="1" applyAlignment="1">
      <alignment horizontal="center"/>
    </xf>
    <xf numFmtId="1" fontId="0" fillId="0" borderId="12" xfId="0" applyNumberFormat="1" applyBorder="1"/>
    <xf numFmtId="0" fontId="3" fillId="20" borderId="26" xfId="0" applyFont="1" applyFill="1" applyBorder="1" applyAlignment="1">
      <alignment horizontal="center"/>
    </xf>
    <xf numFmtId="1" fontId="3" fillId="20" borderId="51" xfId="0" applyNumberFormat="1" applyFont="1" applyFill="1" applyBorder="1" applyAlignment="1">
      <alignment horizontal="center"/>
    </xf>
    <xf numFmtId="1" fontId="0" fillId="0" borderId="25" xfId="0" applyNumberFormat="1" applyBorder="1"/>
    <xf numFmtId="0" fontId="0" fillId="4" borderId="19" xfId="0" applyFill="1" applyBorder="1"/>
    <xf numFmtId="0" fontId="0" fillId="4" borderId="20" xfId="0" applyFill="1" applyBorder="1"/>
    <xf numFmtId="44" fontId="0" fillId="0" borderId="52" xfId="3" applyFont="1" applyBorder="1"/>
    <xf numFmtId="174" fontId="0" fillId="10" borderId="25" xfId="0" applyNumberFormat="1" applyFill="1" applyBorder="1"/>
    <xf numFmtId="44" fontId="0" fillId="0" borderId="15" xfId="3" applyFont="1" applyBorder="1"/>
    <xf numFmtId="44" fontId="0" fillId="11" borderId="46" xfId="3" applyFont="1" applyFill="1" applyBorder="1"/>
    <xf numFmtId="44" fontId="0" fillId="11" borderId="25" xfId="3" applyFont="1" applyFill="1" applyBorder="1"/>
    <xf numFmtId="0" fontId="0" fillId="4" borderId="166" xfId="0" applyFill="1" applyBorder="1"/>
    <xf numFmtId="0" fontId="25" fillId="55" borderId="1" xfId="0" applyFont="1" applyFill="1" applyBorder="1" applyAlignment="1">
      <alignment horizontal="center"/>
    </xf>
    <xf numFmtId="0" fontId="0" fillId="11" borderId="9" xfId="0" applyFill="1" applyBorder="1"/>
    <xf numFmtId="0" fontId="0" fillId="11" borderId="15" xfId="0" applyFill="1" applyBorder="1"/>
    <xf numFmtId="44" fontId="0" fillId="11" borderId="9" xfId="3" applyFont="1" applyFill="1" applyBorder="1"/>
    <xf numFmtId="44" fontId="0" fillId="11" borderId="15" xfId="3" applyFont="1" applyFill="1" applyBorder="1"/>
    <xf numFmtId="0" fontId="0" fillId="0" borderId="29" xfId="0" applyBorder="1"/>
    <xf numFmtId="0" fontId="0" fillId="0" borderId="46" xfId="0" applyBorder="1"/>
    <xf numFmtId="2" fontId="0" fillId="0" borderId="25" xfId="0" applyNumberFormat="1" applyBorder="1"/>
    <xf numFmtId="2" fontId="0" fillId="0" borderId="12" xfId="0" applyNumberFormat="1" applyBorder="1"/>
    <xf numFmtId="0" fontId="3" fillId="20" borderId="7" xfId="0" applyFont="1" applyFill="1" applyBorder="1" applyAlignment="1">
      <alignment horizontal="center"/>
    </xf>
    <xf numFmtId="0" fontId="0" fillId="0" borderId="252" xfId="0" applyBorder="1"/>
    <xf numFmtId="0" fontId="0" fillId="0" borderId="32" xfId="0" applyBorder="1"/>
    <xf numFmtId="0" fontId="0" fillId="0" borderId="245" xfId="0" applyBorder="1"/>
    <xf numFmtId="0" fontId="0" fillId="0" borderId="246" xfId="0" applyBorder="1"/>
    <xf numFmtId="0" fontId="3" fillId="20" borderId="24" xfId="0" applyFont="1" applyFill="1" applyBorder="1" applyAlignment="1">
      <alignment horizontal="center"/>
    </xf>
    <xf numFmtId="0" fontId="3" fillId="20" borderId="10" xfId="0" applyFont="1" applyFill="1" applyBorder="1" applyAlignment="1">
      <alignment horizontal="center"/>
    </xf>
    <xf numFmtId="0" fontId="6" fillId="11" borderId="16" xfId="0" applyFont="1" applyFill="1" applyBorder="1" applyAlignment="1">
      <alignment horizontal="center" vertical="center" wrapText="1"/>
    </xf>
    <xf numFmtId="2" fontId="6" fillId="33" borderId="24" xfId="0" applyNumberFormat="1" applyFont="1" applyFill="1" applyBorder="1"/>
    <xf numFmtId="2" fontId="6" fillId="33" borderId="10" xfId="0" applyNumberFormat="1" applyFont="1" applyFill="1" applyBorder="1"/>
    <xf numFmtId="0" fontId="6" fillId="33" borderId="24" xfId="0" applyFont="1" applyFill="1" applyBorder="1" applyAlignment="1">
      <alignment horizontal="left"/>
    </xf>
    <xf numFmtId="0" fontId="6" fillId="33" borderId="10" xfId="0" applyFont="1" applyFill="1" applyBorder="1" applyAlignment="1">
      <alignment horizontal="left"/>
    </xf>
    <xf numFmtId="180" fontId="0" fillId="0" borderId="1" xfId="3" applyNumberFormat="1" applyFont="1" applyBorder="1"/>
    <xf numFmtId="182" fontId="0" fillId="0" borderId="1" xfId="0" applyNumberFormat="1" applyBorder="1"/>
    <xf numFmtId="0" fontId="0" fillId="0" borderId="1" xfId="3" applyNumberFormat="1" applyFont="1" applyBorder="1"/>
    <xf numFmtId="0" fontId="0" fillId="0" borderId="45" xfId="0" applyBorder="1" applyAlignment="1">
      <alignment horizontal="left" vertical="center" wrapText="1"/>
    </xf>
    <xf numFmtId="0" fontId="0" fillId="0" borderId="9" xfId="0" applyBorder="1"/>
    <xf numFmtId="0" fontId="0" fillId="0" borderId="0" xfId="0" applyAlignment="1">
      <alignment horizontal="center"/>
    </xf>
    <xf numFmtId="0" fontId="21" fillId="60" borderId="19" xfId="0" applyFont="1" applyFill="1" applyBorder="1" applyAlignment="1">
      <alignment horizontal="center"/>
    </xf>
    <xf numFmtId="0" fontId="21" fillId="60" borderId="20" xfId="0" applyFont="1" applyFill="1" applyBorder="1" applyAlignment="1">
      <alignment horizontal="center"/>
    </xf>
    <xf numFmtId="0" fontId="21" fillId="60" borderId="21" xfId="0" applyFont="1" applyFill="1" applyBorder="1" applyAlignment="1">
      <alignment horizontal="center"/>
    </xf>
    <xf numFmtId="0" fontId="21" fillId="34" borderId="7" xfId="0" applyFont="1" applyFill="1" applyBorder="1" applyAlignment="1">
      <alignment horizontal="center"/>
    </xf>
    <xf numFmtId="0" fontId="21" fillId="34" borderId="8" xfId="0" applyFont="1" applyFill="1" applyBorder="1" applyAlignment="1">
      <alignment horizontal="center"/>
    </xf>
    <xf numFmtId="0" fontId="21" fillId="34" borderId="9" xfId="0" applyFont="1" applyFill="1" applyBorder="1" applyAlignment="1">
      <alignment horizontal="center"/>
    </xf>
    <xf numFmtId="0" fontId="0" fillId="19" borderId="24" xfId="0" applyFill="1" applyBorder="1" applyAlignment="1">
      <alignment horizontal="center" vertical="top" wrapText="1"/>
    </xf>
    <xf numFmtId="0" fontId="0" fillId="19" borderId="1" xfId="0" applyFill="1" applyBorder="1" applyAlignment="1">
      <alignment horizontal="center" vertical="top" wrapText="1"/>
    </xf>
    <xf numFmtId="0" fontId="0" fillId="19" borderId="25" xfId="0" applyFill="1" applyBorder="1" applyAlignment="1">
      <alignment horizontal="center" vertical="top" wrapText="1"/>
    </xf>
    <xf numFmtId="0" fontId="0" fillId="19" borderId="10" xfId="0" applyFill="1" applyBorder="1" applyAlignment="1">
      <alignment horizontal="center" vertical="top" wrapText="1"/>
    </xf>
    <xf numFmtId="0" fontId="0" fillId="19" borderId="11" xfId="0" applyFill="1" applyBorder="1" applyAlignment="1">
      <alignment horizontal="center" vertical="top" wrapText="1"/>
    </xf>
    <xf numFmtId="0" fontId="0" fillId="19" borderId="12" xfId="0" applyFill="1" applyBorder="1" applyAlignment="1">
      <alignment horizontal="center" vertical="top" wrapText="1"/>
    </xf>
    <xf numFmtId="9" fontId="0" fillId="0" borderId="161" xfId="0" applyNumberFormat="1" applyBorder="1" applyAlignment="1">
      <alignment horizontal="center" vertical="center"/>
    </xf>
    <xf numFmtId="9" fontId="0" fillId="0" borderId="41" xfId="0" applyNumberFormat="1" applyBorder="1" applyAlignment="1">
      <alignment horizontal="center" vertical="center"/>
    </xf>
    <xf numFmtId="9" fontId="0" fillId="0" borderId="144" xfId="0" applyNumberFormat="1" applyBorder="1" applyAlignment="1">
      <alignment horizontal="center" vertical="center"/>
    </xf>
    <xf numFmtId="0" fontId="1" fillId="18" borderId="10" xfId="0" applyFont="1" applyFill="1" applyBorder="1" applyAlignment="1">
      <alignment horizontal="center" vertical="center"/>
    </xf>
    <xf numFmtId="0" fontId="1" fillId="18" borderId="11" xfId="0" applyFont="1" applyFill="1" applyBorder="1" applyAlignment="1">
      <alignment horizontal="center" vertical="center"/>
    </xf>
    <xf numFmtId="0" fontId="11" fillId="17" borderId="13" xfId="0" applyFont="1" applyFill="1" applyBorder="1" applyAlignment="1">
      <alignment horizontal="center"/>
    </xf>
    <xf numFmtId="0" fontId="11" fillId="17" borderId="14" xfId="0" applyFont="1" applyFill="1" applyBorder="1" applyAlignment="1">
      <alignment horizontal="center"/>
    </xf>
    <xf numFmtId="0" fontId="1" fillId="18" borderId="69" xfId="0" applyFont="1" applyFill="1" applyBorder="1" applyAlignment="1">
      <alignment horizontal="center" vertical="center"/>
    </xf>
    <xf numFmtId="0" fontId="1" fillId="18" borderId="22" xfId="0" applyFont="1" applyFill="1" applyBorder="1" applyAlignment="1">
      <alignment horizontal="center" vertical="center"/>
    </xf>
    <xf numFmtId="0" fontId="1" fillId="18" borderId="23" xfId="0" applyFont="1" applyFill="1" applyBorder="1" applyAlignment="1">
      <alignment horizontal="center" vertical="center"/>
    </xf>
    <xf numFmtId="0" fontId="5" fillId="18" borderId="53" xfId="0" applyFont="1" applyFill="1" applyBorder="1" applyAlignment="1">
      <alignment horizontal="center" vertical="center"/>
    </xf>
    <xf numFmtId="0" fontId="5" fillId="18" borderId="58" xfId="0" applyFont="1" applyFill="1" applyBorder="1" applyAlignment="1">
      <alignment horizontal="center" vertical="center"/>
    </xf>
    <xf numFmtId="1" fontId="1" fillId="18" borderId="53" xfId="0" applyNumberFormat="1" applyFont="1" applyFill="1" applyBorder="1" applyAlignment="1">
      <alignment horizontal="center" vertical="center"/>
    </xf>
    <xf numFmtId="1" fontId="1" fillId="18" borderId="60" xfId="0" applyNumberFormat="1" applyFont="1" applyFill="1" applyBorder="1" applyAlignment="1">
      <alignment horizontal="center" vertical="center"/>
    </xf>
    <xf numFmtId="0" fontId="1" fillId="18" borderId="99" xfId="0" applyFont="1" applyFill="1" applyBorder="1" applyAlignment="1">
      <alignment horizontal="center" vertical="center"/>
    </xf>
    <xf numFmtId="0" fontId="1" fillId="18" borderId="60" xfId="0" applyFont="1" applyFill="1" applyBorder="1" applyAlignment="1">
      <alignment horizontal="center" vertical="center"/>
    </xf>
    <xf numFmtId="0" fontId="1" fillId="18" borderId="26" xfId="0" applyFont="1" applyFill="1" applyBorder="1" applyAlignment="1">
      <alignment horizontal="center" vertical="center"/>
    </xf>
    <xf numFmtId="0" fontId="1" fillId="18" borderId="28" xfId="0" applyFont="1" applyFill="1" applyBorder="1" applyAlignment="1">
      <alignment horizontal="center" vertical="center"/>
    </xf>
    <xf numFmtId="0" fontId="1" fillId="18" borderId="27" xfId="0" applyFont="1" applyFill="1" applyBorder="1" applyAlignment="1">
      <alignment horizontal="center" vertical="center"/>
    </xf>
    <xf numFmtId="0" fontId="0" fillId="0" borderId="14" xfId="0" applyBorder="1" applyAlignment="1">
      <alignment horizontal="center" vertical="center"/>
    </xf>
    <xf numFmtId="0" fontId="1" fillId="18" borderId="19" xfId="0" applyFont="1" applyFill="1" applyBorder="1" applyAlignment="1">
      <alignment horizontal="center" vertical="center" wrapText="1"/>
    </xf>
    <xf numFmtId="0" fontId="1" fillId="18" borderId="21" xfId="0" applyFont="1" applyFill="1" applyBorder="1" applyAlignment="1">
      <alignment horizontal="center" vertical="center" wrapText="1"/>
    </xf>
    <xf numFmtId="0" fontId="0" fillId="17" borderId="40" xfId="0" applyFill="1" applyBorder="1" applyAlignment="1">
      <alignment horizontal="center" vertical="center"/>
    </xf>
    <xf numFmtId="0" fontId="0" fillId="17" borderId="18" xfId="0" applyFill="1" applyBorder="1" applyAlignment="1">
      <alignment horizontal="center" vertical="center"/>
    </xf>
    <xf numFmtId="0" fontId="0" fillId="20" borderId="71" xfId="0" applyFill="1" applyBorder="1" applyAlignment="1">
      <alignment horizontal="center"/>
    </xf>
    <xf numFmtId="0" fontId="11" fillId="0" borderId="7" xfId="0" applyFont="1" applyBorder="1" applyAlignment="1">
      <alignment horizontal="center" wrapText="1"/>
    </xf>
    <xf numFmtId="0" fontId="11" fillId="0" borderId="9" xfId="0" applyFont="1" applyBorder="1" applyAlignment="1">
      <alignment horizontal="center" wrapText="1"/>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2" borderId="30" xfId="0" applyFont="1" applyFill="1" applyBorder="1" applyAlignment="1">
      <alignment horizontal="center"/>
    </xf>
    <xf numFmtId="0" fontId="3" fillId="2" borderId="48" xfId="0" applyFont="1" applyFill="1" applyBorder="1" applyAlignment="1">
      <alignment horizontal="center"/>
    </xf>
    <xf numFmtId="0" fontId="3" fillId="2" borderId="51" xfId="0" applyFont="1" applyFill="1" applyBorder="1" applyAlignment="1">
      <alignment horizontal="center"/>
    </xf>
    <xf numFmtId="0" fontId="0" fillId="14" borderId="30" xfId="0" applyFill="1" applyBorder="1" applyAlignment="1">
      <alignment horizontal="left" vertical="center"/>
    </xf>
    <xf numFmtId="0" fontId="0" fillId="14" borderId="31" xfId="0" applyFill="1" applyBorder="1" applyAlignment="1">
      <alignment horizontal="left" vertical="center"/>
    </xf>
    <xf numFmtId="0" fontId="0" fillId="14" borderId="32" xfId="0" applyFill="1" applyBorder="1" applyAlignment="1">
      <alignment horizontal="left"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0" fillId="9" borderId="30" xfId="0" applyFill="1" applyBorder="1" applyAlignment="1">
      <alignment horizontal="left" vertical="center"/>
    </xf>
    <xf numFmtId="0" fontId="0" fillId="9" borderId="31" xfId="0" applyFill="1" applyBorder="1" applyAlignment="1">
      <alignment horizontal="left" vertical="center"/>
    </xf>
    <xf numFmtId="0" fontId="0" fillId="14" borderId="36" xfId="0" applyFill="1" applyBorder="1" applyAlignment="1">
      <alignment horizontal="center"/>
    </xf>
    <xf numFmtId="0" fontId="0" fillId="14" borderId="16" xfId="0" applyFill="1" applyBorder="1" applyAlignment="1">
      <alignment horizontal="center"/>
    </xf>
    <xf numFmtId="0" fontId="0" fillId="39" borderId="69" xfId="0" applyFill="1" applyBorder="1" applyAlignment="1">
      <alignment horizontal="center"/>
    </xf>
    <xf numFmtId="0" fontId="0" fillId="39" borderId="16" xfId="0" applyFill="1" applyBorder="1" applyAlignment="1">
      <alignment horizontal="center"/>
    </xf>
    <xf numFmtId="0" fontId="0" fillId="9" borderId="32" xfId="0" applyFill="1" applyBorder="1" applyAlignment="1">
      <alignment horizontal="left" vertical="center"/>
    </xf>
    <xf numFmtId="0" fontId="0" fillId="9" borderId="36" xfId="0" applyFill="1" applyBorder="1" applyAlignment="1">
      <alignment horizontal="center"/>
    </xf>
    <xf numFmtId="0" fontId="0" fillId="9" borderId="44" xfId="0" applyFill="1" applyBorder="1" applyAlignment="1">
      <alignment horizontal="center"/>
    </xf>
    <xf numFmtId="0" fontId="0" fillId="14" borderId="7" xfId="0" applyFill="1" applyBorder="1" applyAlignment="1">
      <alignment horizontal="left" vertical="center"/>
    </xf>
    <xf numFmtId="0" fontId="0" fillId="14" borderId="24" xfId="0" applyFill="1" applyBorder="1" applyAlignment="1">
      <alignment horizontal="left" vertical="center"/>
    </xf>
    <xf numFmtId="0" fontId="0" fillId="2" borderId="19" xfId="0" applyFill="1" applyBorder="1" applyAlignment="1">
      <alignment horizontal="center" vertical="center"/>
    </xf>
    <xf numFmtId="0" fontId="0" fillId="2" borderId="143" xfId="0" applyFill="1" applyBorder="1" applyAlignment="1">
      <alignment horizontal="center" vertical="center"/>
    </xf>
    <xf numFmtId="0" fontId="0" fillId="2" borderId="20" xfId="0" applyFill="1" applyBorder="1" applyAlignment="1">
      <alignment horizontal="center" vertical="center"/>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0" fillId="10" borderId="19" xfId="0" applyFill="1" applyBorder="1" applyAlignment="1">
      <alignment horizontal="left" vertical="center"/>
    </xf>
    <xf numFmtId="0" fontId="0" fillId="10" borderId="20" xfId="0" applyFill="1" applyBorder="1" applyAlignment="1">
      <alignment horizontal="left" vertical="center"/>
    </xf>
    <xf numFmtId="0" fontId="0" fillId="10" borderId="21" xfId="0" applyFill="1" applyBorder="1" applyAlignment="1">
      <alignment horizontal="left" vertical="center"/>
    </xf>
    <xf numFmtId="0" fontId="0" fillId="2" borderId="21" xfId="0" applyFill="1" applyBorder="1" applyAlignment="1">
      <alignment horizontal="center" vertical="center"/>
    </xf>
    <xf numFmtId="0" fontId="0" fillId="14" borderId="10" xfId="0" applyFill="1" applyBorder="1" applyAlignment="1">
      <alignment horizontal="left" vertical="center"/>
    </xf>
    <xf numFmtId="0" fontId="0" fillId="14" borderId="23" xfId="0" applyFill="1" applyBorder="1" applyAlignment="1">
      <alignment horizontal="center"/>
    </xf>
    <xf numFmtId="0" fontId="0" fillId="16" borderId="7" xfId="0" applyFill="1" applyBorder="1" applyAlignment="1">
      <alignment horizontal="center" vertical="center" wrapText="1"/>
    </xf>
    <xf numFmtId="0" fontId="0" fillId="16" borderId="9" xfId="0" applyFill="1" applyBorder="1" applyAlignment="1">
      <alignment horizontal="center" vertical="center" wrapText="1"/>
    </xf>
    <xf numFmtId="0" fontId="9" fillId="0" borderId="1" xfId="0" applyFont="1" applyBorder="1" applyAlignment="1">
      <alignment horizontal="center"/>
    </xf>
    <xf numFmtId="0" fontId="0" fillId="16" borderId="1" xfId="0" applyFill="1" applyBorder="1" applyAlignment="1">
      <alignment horizontal="center"/>
    </xf>
    <xf numFmtId="0" fontId="0" fillId="16" borderId="2" xfId="0" applyFill="1" applyBorder="1" applyAlignment="1">
      <alignment horizontal="center"/>
    </xf>
    <xf numFmtId="0" fontId="0" fillId="16" borderId="67" xfId="0" applyFill="1" applyBorder="1" applyAlignment="1">
      <alignment horizontal="center"/>
    </xf>
    <xf numFmtId="0" fontId="0" fillId="16" borderId="3" xfId="0" applyFill="1" applyBorder="1" applyAlignment="1">
      <alignment horizontal="center"/>
    </xf>
    <xf numFmtId="0" fontId="0" fillId="0" borderId="29" xfId="0" applyBorder="1" applyAlignment="1">
      <alignment horizontal="left"/>
    </xf>
    <xf numFmtId="0" fontId="0" fillId="0" borderId="45" xfId="0" applyBorder="1" applyAlignment="1">
      <alignment horizontal="left"/>
    </xf>
    <xf numFmtId="0" fontId="0" fillId="0" borderId="24" xfId="0" applyBorder="1" applyAlignment="1">
      <alignment horizontal="left"/>
    </xf>
    <xf numFmtId="0" fontId="0" fillId="0" borderId="1"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165" fontId="0" fillId="0" borderId="9" xfId="0" applyNumberFormat="1" applyBorder="1" applyAlignment="1">
      <alignment horizontal="center" vertical="center"/>
    </xf>
    <xf numFmtId="0" fontId="0" fillId="0" borderId="25" xfId="0" applyBorder="1" applyAlignment="1">
      <alignment horizontal="center" vertical="center"/>
    </xf>
    <xf numFmtId="165" fontId="0" fillId="0" borderId="25" xfId="0" applyNumberFormat="1" applyBorder="1" applyAlignment="1">
      <alignment horizontal="center"/>
    </xf>
    <xf numFmtId="0" fontId="0" fillId="0" borderId="12" xfId="0" applyBorder="1" applyAlignment="1">
      <alignment horizontal="center"/>
    </xf>
    <xf numFmtId="0" fontId="0" fillId="13" borderId="19" xfId="0" applyFill="1" applyBorder="1" applyAlignment="1">
      <alignment horizontal="center" vertical="center"/>
    </xf>
    <xf numFmtId="0" fontId="0" fillId="13" borderId="21" xfId="0" applyFill="1" applyBorder="1" applyAlignment="1">
      <alignment horizontal="center" vertical="center"/>
    </xf>
    <xf numFmtId="0" fontId="0" fillId="13" borderId="19" xfId="0" applyFill="1" applyBorder="1" applyAlignment="1">
      <alignment horizontal="center"/>
    </xf>
    <xf numFmtId="0" fontId="0" fillId="13" borderId="21" xfId="0" applyFill="1" applyBorder="1" applyAlignment="1">
      <alignment horizontal="center"/>
    </xf>
    <xf numFmtId="0" fontId="0" fillId="11" borderId="19" xfId="0" applyFill="1" applyBorder="1" applyAlignment="1">
      <alignment horizontal="center"/>
    </xf>
    <xf numFmtId="0" fontId="0" fillId="11" borderId="20" xfId="0" applyFill="1" applyBorder="1" applyAlignment="1">
      <alignment horizontal="center"/>
    </xf>
    <xf numFmtId="0" fontId="0" fillId="11" borderId="21" xfId="0" applyFill="1" applyBorder="1" applyAlignment="1">
      <alignment horizontal="center"/>
    </xf>
    <xf numFmtId="0" fontId="0" fillId="13" borderId="20" xfId="0" applyFill="1" applyBorder="1" applyAlignment="1">
      <alignment horizontal="center" vertical="center"/>
    </xf>
    <xf numFmtId="0" fontId="3" fillId="46" borderId="13" xfId="0" applyFont="1" applyFill="1" applyBorder="1" applyAlignment="1">
      <alignment horizontal="center" vertical="center"/>
    </xf>
    <xf numFmtId="0" fontId="3" fillId="46" borderId="14" xfId="0" applyFont="1" applyFill="1" applyBorder="1" applyAlignment="1">
      <alignment horizontal="center" vertical="center"/>
    </xf>
    <xf numFmtId="0" fontId="0" fillId="33" borderId="14" xfId="0" applyFill="1" applyBorder="1" applyAlignment="1">
      <alignment horizontal="center"/>
    </xf>
    <xf numFmtId="0" fontId="40" fillId="33" borderId="24" xfId="0" applyFont="1" applyFill="1" applyBorder="1" applyAlignment="1">
      <alignment horizontal="left"/>
    </xf>
    <xf numFmtId="0" fontId="40" fillId="33" borderId="1" xfId="0" applyFont="1" applyFill="1" applyBorder="1" applyAlignment="1">
      <alignment horizontal="left"/>
    </xf>
    <xf numFmtId="0" fontId="0" fillId="11" borderId="1" xfId="0" applyFill="1" applyBorder="1" applyAlignment="1">
      <alignment horizontal="center"/>
    </xf>
    <xf numFmtId="44" fontId="0" fillId="33" borderId="14" xfId="0" applyNumberFormat="1" applyFill="1" applyBorder="1" applyAlignment="1">
      <alignment horizontal="center"/>
    </xf>
    <xf numFmtId="0" fontId="20" fillId="46" borderId="13" xfId="0" applyFont="1" applyFill="1" applyBorder="1" applyAlignment="1">
      <alignment horizontal="center" vertical="center"/>
    </xf>
    <xf numFmtId="0" fontId="20" fillId="46" borderId="14" xfId="0" applyFont="1" applyFill="1" applyBorder="1" applyAlignment="1">
      <alignment horizontal="center" vertical="center"/>
    </xf>
    <xf numFmtId="44" fontId="0" fillId="11" borderId="1" xfId="0" applyNumberFormat="1" applyFill="1" applyBorder="1" applyAlignment="1">
      <alignment horizontal="center"/>
    </xf>
    <xf numFmtId="171" fontId="0" fillId="0" borderId="2" xfId="3" applyNumberFormat="1" applyFont="1" applyBorder="1" applyAlignment="1">
      <alignment horizontal="center"/>
    </xf>
    <xf numFmtId="171" fontId="0" fillId="0" borderId="3" xfId="3" applyNumberFormat="1" applyFont="1" applyBorder="1" applyAlignment="1">
      <alignment horizontal="center"/>
    </xf>
    <xf numFmtId="0" fontId="40" fillId="33" borderId="10" xfId="0" applyFont="1" applyFill="1" applyBorder="1" applyAlignment="1">
      <alignment horizontal="left"/>
    </xf>
    <xf numFmtId="0" fontId="40" fillId="33" borderId="11" xfId="0" applyFont="1" applyFill="1" applyBorder="1" applyAlignment="1">
      <alignment horizontal="left"/>
    </xf>
    <xf numFmtId="171" fontId="0" fillId="33" borderId="14" xfId="3" applyNumberFormat="1" applyFont="1" applyFill="1" applyBorder="1" applyAlignment="1">
      <alignment horizontal="center"/>
    </xf>
    <xf numFmtId="171" fontId="0" fillId="11" borderId="1" xfId="3" applyNumberFormat="1" applyFont="1" applyFill="1" applyBorder="1" applyAlignment="1">
      <alignment horizontal="center"/>
    </xf>
    <xf numFmtId="0" fontId="0" fillId="46" borderId="7" xfId="0" applyFill="1" applyBorder="1" applyAlignment="1">
      <alignment horizontal="left" vertical="center"/>
    </xf>
    <xf numFmtId="0" fontId="0" fillId="46" borderId="8" xfId="0" applyFill="1" applyBorder="1" applyAlignment="1">
      <alignment horizontal="left" vertical="center"/>
    </xf>
    <xf numFmtId="171" fontId="0" fillId="33" borderId="8" xfId="3" applyNumberFormat="1" applyFont="1" applyFill="1" applyBorder="1" applyAlignment="1">
      <alignment horizontal="center"/>
    </xf>
    <xf numFmtId="171" fontId="0" fillId="11" borderId="11" xfId="3" applyNumberFormat="1" applyFont="1" applyFill="1" applyBorder="1" applyAlignment="1">
      <alignment horizontal="center"/>
    </xf>
    <xf numFmtId="0" fontId="40" fillId="33" borderId="159" xfId="0" applyFont="1" applyFill="1" applyBorder="1" applyAlignment="1">
      <alignment horizontal="left"/>
    </xf>
    <xf numFmtId="0" fontId="40" fillId="33" borderId="5" xfId="0" applyFont="1" applyFill="1" applyBorder="1" applyAlignment="1">
      <alignment horizontal="left"/>
    </xf>
    <xf numFmtId="171" fontId="0" fillId="0" borderId="160" xfId="3" applyNumberFormat="1" applyFont="1" applyBorder="1" applyAlignment="1">
      <alignment horizontal="center"/>
    </xf>
    <xf numFmtId="171" fontId="0" fillId="0" borderId="161" xfId="3" applyNumberFormat="1" applyFont="1" applyBorder="1" applyAlignment="1">
      <alignment horizontal="center"/>
    </xf>
    <xf numFmtId="0" fontId="0" fillId="46" borderId="29" xfId="0" applyFill="1" applyBorder="1" applyAlignment="1">
      <alignment horizontal="left" vertical="center"/>
    </xf>
    <xf numFmtId="0" fontId="0" fillId="46" borderId="45" xfId="0" applyFill="1" applyBorder="1" applyAlignment="1">
      <alignment horizontal="left" vertical="center"/>
    </xf>
    <xf numFmtId="171" fontId="0" fillId="33" borderId="45" xfId="3" applyNumberFormat="1" applyFont="1" applyFill="1" applyBorder="1" applyAlignment="1">
      <alignment horizontal="center"/>
    </xf>
    <xf numFmtId="171" fontId="0" fillId="11" borderId="5" xfId="3" applyNumberFormat="1" applyFont="1" applyFill="1" applyBorder="1" applyAlignment="1">
      <alignment horizontal="center"/>
    </xf>
    <xf numFmtId="0" fontId="0" fillId="46" borderId="19" xfId="0" applyFill="1" applyBorder="1" applyAlignment="1">
      <alignment horizontal="center" vertical="center"/>
    </xf>
    <xf numFmtId="0" fontId="0" fillId="46" borderId="20" xfId="0" applyFill="1" applyBorder="1" applyAlignment="1">
      <alignment horizontal="center" vertical="center"/>
    </xf>
    <xf numFmtId="0" fontId="0" fillId="35" borderId="70" xfId="0" applyFill="1" applyBorder="1" applyAlignment="1">
      <alignment horizontal="center"/>
    </xf>
    <xf numFmtId="0" fontId="0" fillId="35" borderId="76" xfId="0" applyFill="1" applyBorder="1" applyAlignment="1">
      <alignment horizontal="center"/>
    </xf>
    <xf numFmtId="0" fontId="0" fillId="35" borderId="56" xfId="0" applyFill="1" applyBorder="1" applyAlignment="1">
      <alignment horizontal="center"/>
    </xf>
    <xf numFmtId="0" fontId="0" fillId="46" borderId="19" xfId="0" applyFill="1" applyBorder="1" applyAlignment="1">
      <alignment horizontal="left" vertical="center"/>
    </xf>
    <xf numFmtId="0" fontId="0" fillId="46" borderId="18" xfId="0" applyFill="1" applyBorder="1" applyAlignment="1">
      <alignment horizontal="left" vertical="center"/>
    </xf>
    <xf numFmtId="0" fontId="0" fillId="46" borderId="19" xfId="0" applyFill="1" applyBorder="1" applyAlignment="1">
      <alignment horizontal="center"/>
    </xf>
    <xf numFmtId="0" fontId="0" fillId="46" borderId="20" xfId="0" applyFill="1" applyBorder="1" applyAlignment="1">
      <alignment horizontal="center"/>
    </xf>
    <xf numFmtId="0" fontId="41" fillId="46" borderId="13" xfId="0" applyFont="1" applyFill="1" applyBorder="1" applyAlignment="1">
      <alignment horizontal="center" vertical="center"/>
    </xf>
    <xf numFmtId="0" fontId="41" fillId="46" borderId="14" xfId="0" applyFont="1" applyFill="1" applyBorder="1" applyAlignment="1">
      <alignment horizontal="center" vertical="center"/>
    </xf>
    <xf numFmtId="171" fontId="0" fillId="33" borderId="14" xfId="0" applyNumberFormat="1" applyFill="1" applyBorder="1" applyAlignment="1">
      <alignment horizontal="center"/>
    </xf>
    <xf numFmtId="0" fontId="0" fillId="38" borderId="19" xfId="0" applyFill="1" applyBorder="1" applyAlignment="1">
      <alignment horizontal="center"/>
    </xf>
    <xf numFmtId="0" fontId="0" fillId="38" borderId="18" xfId="0" applyFill="1" applyBorder="1" applyAlignment="1">
      <alignment horizontal="center"/>
    </xf>
    <xf numFmtId="1" fontId="0" fillId="5" borderId="19" xfId="0" applyNumberFormat="1" applyFill="1" applyBorder="1" applyAlignment="1">
      <alignment horizontal="left"/>
    </xf>
    <xf numFmtId="1" fontId="0" fillId="5" borderId="18" xfId="0" applyNumberFormat="1" applyFill="1" applyBorder="1" applyAlignment="1">
      <alignment horizontal="left"/>
    </xf>
    <xf numFmtId="1" fontId="0" fillId="5" borderId="30" xfId="0" applyNumberFormat="1" applyFill="1" applyBorder="1" applyAlignment="1">
      <alignment horizontal="left" vertical="center"/>
    </xf>
    <xf numFmtId="1" fontId="0" fillId="5" borderId="31" xfId="0" applyNumberFormat="1" applyFill="1" applyBorder="1" applyAlignment="1">
      <alignment horizontal="left" vertical="center"/>
    </xf>
    <xf numFmtId="1" fontId="0" fillId="5" borderId="36" xfId="0" applyNumberFormat="1" applyFill="1" applyBorder="1" applyAlignment="1">
      <alignment horizontal="center"/>
    </xf>
    <xf numFmtId="1" fontId="0" fillId="5" borderId="23" xfId="0" applyNumberFormat="1" applyFill="1" applyBorder="1" applyAlignment="1">
      <alignment horizontal="center"/>
    </xf>
    <xf numFmtId="1" fontId="1" fillId="8" borderId="0" xfId="0" applyNumberFormat="1" applyFont="1" applyFill="1" applyAlignment="1">
      <alignment horizontal="center"/>
    </xf>
    <xf numFmtId="1" fontId="0" fillId="5" borderId="19" xfId="0" applyNumberFormat="1" applyFill="1" applyBorder="1" applyAlignment="1">
      <alignment horizontal="center" vertical="center"/>
    </xf>
    <xf numFmtId="1" fontId="0" fillId="5" borderId="21" xfId="0" applyNumberFormat="1" applyFill="1" applyBorder="1" applyAlignment="1">
      <alignment horizontal="center" vertical="center"/>
    </xf>
    <xf numFmtId="0" fontId="0" fillId="5" borderId="19" xfId="0" applyFill="1" applyBorder="1" applyAlignment="1">
      <alignment horizontal="center" vertical="center"/>
    </xf>
    <xf numFmtId="0" fontId="0" fillId="5" borderId="21" xfId="0" applyFill="1" applyBorder="1" applyAlignment="1">
      <alignment horizontal="center" vertical="center"/>
    </xf>
    <xf numFmtId="1" fontId="0" fillId="36" borderId="30" xfId="0" applyNumberFormat="1" applyFill="1" applyBorder="1" applyAlignment="1">
      <alignment horizontal="left" vertical="center"/>
    </xf>
    <xf numFmtId="1" fontId="0" fillId="36" borderId="31" xfId="0" applyNumberFormat="1" applyFill="1" applyBorder="1" applyAlignment="1">
      <alignment horizontal="left" vertical="center"/>
    </xf>
    <xf numFmtId="0" fontId="0" fillId="37" borderId="1" xfId="0" applyFill="1" applyBorder="1" applyAlignment="1">
      <alignment horizontal="center" vertical="center" wrapText="1"/>
    </xf>
    <xf numFmtId="0" fontId="1" fillId="8" borderId="54" xfId="0" applyFont="1" applyFill="1" applyBorder="1" applyAlignment="1">
      <alignment horizontal="center"/>
    </xf>
    <xf numFmtId="0" fontId="3" fillId="37" borderId="1" xfId="0" applyFont="1" applyFill="1" applyBorder="1" applyAlignment="1">
      <alignment horizontal="center" vertical="center" wrapText="1"/>
    </xf>
    <xf numFmtId="0" fontId="0" fillId="0" borderId="19" xfId="0" applyBorder="1" applyAlignment="1">
      <alignment horizontal="center"/>
    </xf>
    <xf numFmtId="0" fontId="0" fillId="0" borderId="20" xfId="0" applyBorder="1" applyAlignment="1">
      <alignment horizontal="center"/>
    </xf>
    <xf numFmtId="0" fontId="0" fillId="9" borderId="19" xfId="0" applyFill="1" applyBorder="1" applyAlignment="1">
      <alignment horizontal="left" vertical="center"/>
    </xf>
    <xf numFmtId="0" fontId="0" fillId="9" borderId="18" xfId="0" applyFill="1" applyBorder="1" applyAlignment="1">
      <alignment horizontal="left" vertical="center"/>
    </xf>
    <xf numFmtId="0" fontId="0" fillId="0" borderId="0" xfId="0" applyAlignment="1">
      <alignment horizontal="center"/>
    </xf>
    <xf numFmtId="0" fontId="0" fillId="10" borderId="251" xfId="0" applyFill="1" applyBorder="1" applyAlignment="1">
      <alignment horizontal="center"/>
    </xf>
    <xf numFmtId="0" fontId="0" fillId="10" borderId="67" xfId="0" applyFill="1" applyBorder="1" applyAlignment="1">
      <alignment horizontal="center"/>
    </xf>
    <xf numFmtId="0" fontId="0" fillId="10" borderId="3" xfId="0" applyFill="1" applyBorder="1" applyAlignment="1">
      <alignment horizontal="center"/>
    </xf>
    <xf numFmtId="0" fontId="0" fillId="6" borderId="19" xfId="0" applyFill="1" applyBorder="1" applyAlignment="1">
      <alignment horizontal="center"/>
    </xf>
    <xf numFmtId="0" fontId="0" fillId="6" borderId="20" xfId="0" applyFill="1" applyBorder="1" applyAlignment="1">
      <alignment horizontal="center"/>
    </xf>
    <xf numFmtId="0" fontId="0" fillId="6" borderId="21" xfId="0" applyFill="1" applyBorder="1" applyAlignment="1">
      <alignment horizontal="center"/>
    </xf>
    <xf numFmtId="0" fontId="0" fillId="7" borderId="19" xfId="0" applyFill="1" applyBorder="1" applyAlignment="1">
      <alignment horizontal="center"/>
    </xf>
    <xf numFmtId="0" fontId="0" fillId="7" borderId="20" xfId="0" applyFill="1" applyBorder="1" applyAlignment="1">
      <alignment horizontal="center"/>
    </xf>
    <xf numFmtId="0" fontId="0" fillId="7" borderId="18" xfId="0" applyFill="1" applyBorder="1" applyAlignment="1">
      <alignment horizontal="center"/>
    </xf>
    <xf numFmtId="0" fontId="0" fillId="5" borderId="19" xfId="0" applyFill="1" applyBorder="1" applyAlignment="1">
      <alignment horizontal="center"/>
    </xf>
    <xf numFmtId="0" fontId="0" fillId="5" borderId="20" xfId="0" applyFill="1" applyBorder="1" applyAlignment="1">
      <alignment horizontal="center"/>
    </xf>
    <xf numFmtId="0" fontId="0" fillId="5" borderId="18" xfId="0" applyFill="1" applyBorder="1" applyAlignment="1">
      <alignment horizontal="center"/>
    </xf>
    <xf numFmtId="0" fontId="0" fillId="13" borderId="20" xfId="0" applyFill="1" applyBorder="1" applyAlignment="1">
      <alignment horizontal="center"/>
    </xf>
    <xf numFmtId="0" fontId="0" fillId="13" borderId="18" xfId="0" applyFill="1" applyBorder="1" applyAlignment="1">
      <alignment horizontal="center"/>
    </xf>
    <xf numFmtId="0" fontId="0" fillId="59" borderId="19" xfId="0" applyFill="1" applyBorder="1" applyAlignment="1">
      <alignment horizontal="center"/>
    </xf>
    <xf numFmtId="0" fontId="0" fillId="59" borderId="20" xfId="0" applyFill="1" applyBorder="1" applyAlignment="1">
      <alignment horizontal="center"/>
    </xf>
    <xf numFmtId="0" fontId="0" fillId="59" borderId="21" xfId="0" applyFill="1" applyBorder="1" applyAlignment="1">
      <alignment horizontal="center"/>
    </xf>
    <xf numFmtId="0" fontId="0" fillId="58" borderId="19" xfId="3" applyNumberFormat="1" applyFont="1" applyFill="1" applyBorder="1" applyAlignment="1">
      <alignment horizontal="center"/>
    </xf>
    <xf numFmtId="0" fontId="0" fillId="58" borderId="20" xfId="3" applyNumberFormat="1" applyFont="1" applyFill="1" applyBorder="1" applyAlignment="1">
      <alignment horizontal="center"/>
    </xf>
    <xf numFmtId="0" fontId="0" fillId="58" borderId="21" xfId="3" applyNumberFormat="1" applyFont="1" applyFill="1" applyBorder="1" applyAlignment="1">
      <alignment horizontal="center"/>
    </xf>
    <xf numFmtId="0" fontId="0" fillId="29" borderId="19" xfId="0" applyFill="1" applyBorder="1" applyAlignment="1">
      <alignment horizontal="center"/>
    </xf>
    <xf numFmtId="0" fontId="0" fillId="29" borderId="20" xfId="0" applyFill="1" applyBorder="1" applyAlignment="1">
      <alignment horizontal="center"/>
    </xf>
    <xf numFmtId="0" fontId="0" fillId="29" borderId="21" xfId="0" applyFill="1" applyBorder="1" applyAlignment="1">
      <alignment horizontal="center"/>
    </xf>
    <xf numFmtId="0" fontId="0" fillId="54" borderId="19" xfId="0" applyFill="1" applyBorder="1" applyAlignment="1">
      <alignment horizontal="center"/>
    </xf>
    <xf numFmtId="0" fontId="0" fillId="54" borderId="20" xfId="0" applyFill="1" applyBorder="1" applyAlignment="1">
      <alignment horizontal="center"/>
    </xf>
    <xf numFmtId="0" fontId="0" fillId="54" borderId="21" xfId="0" applyFill="1" applyBorder="1" applyAlignment="1">
      <alignment horizontal="center"/>
    </xf>
    <xf numFmtId="0" fontId="0" fillId="17" borderId="19" xfId="0" applyFill="1" applyBorder="1" applyAlignment="1">
      <alignment horizontal="center"/>
    </xf>
    <xf numFmtId="0" fontId="0" fillId="17" borderId="20" xfId="0" applyFill="1" applyBorder="1" applyAlignment="1">
      <alignment horizontal="center"/>
    </xf>
    <xf numFmtId="0" fontId="0" fillId="17" borderId="21" xfId="0" applyFill="1" applyBorder="1" applyAlignment="1">
      <alignment horizontal="center"/>
    </xf>
    <xf numFmtId="0" fontId="0" fillId="56" borderId="20" xfId="0" applyFill="1" applyBorder="1" applyAlignment="1">
      <alignment horizontal="center"/>
    </xf>
    <xf numFmtId="0" fontId="0" fillId="56" borderId="21" xfId="0" applyFill="1" applyBorder="1" applyAlignment="1">
      <alignment horizontal="center"/>
    </xf>
    <xf numFmtId="0" fontId="0" fillId="57" borderId="20" xfId="0" applyFill="1" applyBorder="1" applyAlignment="1">
      <alignment horizontal="center"/>
    </xf>
    <xf numFmtId="0" fontId="0" fillId="9" borderId="19" xfId="0" applyFill="1" applyBorder="1" applyAlignment="1">
      <alignment horizontal="center"/>
    </xf>
    <xf numFmtId="0" fontId="0" fillId="9" borderId="20" xfId="0" applyFill="1" applyBorder="1" applyAlignment="1">
      <alignment horizontal="center"/>
    </xf>
    <xf numFmtId="0" fontId="0" fillId="9" borderId="21" xfId="0" applyFill="1" applyBorder="1" applyAlignment="1">
      <alignment horizontal="center"/>
    </xf>
    <xf numFmtId="0" fontId="0" fillId="10" borderId="19" xfId="0" applyFill="1" applyBorder="1" applyAlignment="1">
      <alignment horizontal="center"/>
    </xf>
    <xf numFmtId="0" fontId="0" fillId="10" borderId="20" xfId="0" applyFill="1" applyBorder="1" applyAlignment="1">
      <alignment horizontal="center"/>
    </xf>
    <xf numFmtId="0" fontId="0" fillId="10" borderId="21" xfId="0" applyFill="1" applyBorder="1" applyAlignment="1">
      <alignment horizontal="center"/>
    </xf>
    <xf numFmtId="0" fontId="0" fillId="51" borderId="19" xfId="0" applyFill="1" applyBorder="1" applyAlignment="1">
      <alignment horizontal="center"/>
    </xf>
    <xf numFmtId="0" fontId="0" fillId="51" borderId="20" xfId="0" applyFill="1" applyBorder="1" applyAlignment="1">
      <alignment horizontal="center"/>
    </xf>
    <xf numFmtId="0" fontId="3" fillId="15" borderId="165" xfId="0" applyFont="1" applyFill="1" applyBorder="1" applyAlignment="1">
      <alignment horizontal="center" vertical="center"/>
    </xf>
    <xf numFmtId="0" fontId="0" fillId="0" borderId="165" xfId="0" applyBorder="1" applyAlignment="1">
      <alignment horizontal="center" vertical="center"/>
    </xf>
    <xf numFmtId="9" fontId="11" fillId="0" borderId="221" xfId="1" applyFont="1" applyFill="1" applyBorder="1" applyAlignment="1">
      <alignment horizontal="center"/>
    </xf>
    <xf numFmtId="9" fontId="11" fillId="0" borderId="224" xfId="1" applyFont="1" applyFill="1" applyBorder="1" applyAlignment="1">
      <alignment horizontal="center"/>
    </xf>
    <xf numFmtId="9" fontId="11" fillId="0" borderId="231" xfId="1" applyFont="1" applyFill="1" applyBorder="1" applyAlignment="1">
      <alignment horizontal="center"/>
    </xf>
    <xf numFmtId="9" fontId="11" fillId="0" borderId="234" xfId="1" applyFont="1" applyFill="1" applyBorder="1" applyAlignment="1">
      <alignment horizontal="center"/>
    </xf>
    <xf numFmtId="14" fontId="10" fillId="0" borderId="80" xfId="0" applyNumberFormat="1" applyFont="1" applyBorder="1" applyAlignment="1">
      <alignment horizontal="center" vertical="center"/>
    </xf>
    <xf numFmtId="14" fontId="10" fillId="0" borderId="82" xfId="0" applyNumberFormat="1" applyFont="1" applyBorder="1" applyAlignment="1">
      <alignment horizontal="center" vertical="center"/>
    </xf>
    <xf numFmtId="1" fontId="0" fillId="0" borderId="149" xfId="0" applyNumberFormat="1" applyBorder="1" applyAlignment="1">
      <alignment horizontal="center" vertical="center"/>
    </xf>
    <xf numFmtId="1" fontId="0" fillId="0" borderId="89" xfId="0" applyNumberFormat="1" applyBorder="1" applyAlignment="1">
      <alignment horizontal="center" vertical="center"/>
    </xf>
    <xf numFmtId="9" fontId="20" fillId="0" borderId="196" xfId="1" applyFont="1" applyFill="1" applyBorder="1" applyAlignment="1">
      <alignment horizontal="center"/>
    </xf>
    <xf numFmtId="9" fontId="20" fillId="0" borderId="228" xfId="1" applyFont="1" applyFill="1" applyBorder="1" applyAlignment="1">
      <alignment horizontal="center"/>
    </xf>
    <xf numFmtId="9" fontId="11" fillId="0" borderId="225" xfId="1" applyFont="1" applyFill="1" applyBorder="1" applyAlignment="1">
      <alignment horizontal="center"/>
    </xf>
    <xf numFmtId="9" fontId="11" fillId="0" borderId="228" xfId="1" applyFont="1" applyFill="1" applyBorder="1" applyAlignment="1">
      <alignment horizontal="center"/>
    </xf>
    <xf numFmtId="171" fontId="3" fillId="0" borderId="152" xfId="3" applyNumberFormat="1" applyFont="1" applyBorder="1" applyAlignment="1">
      <alignment horizontal="center" vertical="center"/>
    </xf>
    <xf numFmtId="171" fontId="3" fillId="0" borderId="154" xfId="3" applyNumberFormat="1" applyFont="1" applyBorder="1" applyAlignment="1">
      <alignment horizontal="center" vertical="center"/>
    </xf>
    <xf numFmtId="0" fontId="3" fillId="39" borderId="211" xfId="0" applyFont="1" applyFill="1" applyBorder="1" applyAlignment="1">
      <alignment horizontal="center" vertical="center"/>
    </xf>
    <xf numFmtId="0" fontId="3" fillId="39" borderId="191" xfId="0" applyFont="1" applyFill="1" applyBorder="1" applyAlignment="1">
      <alignment horizontal="center" vertical="center"/>
    </xf>
    <xf numFmtId="0" fontId="3" fillId="39" borderId="178" xfId="0" applyFont="1" applyFill="1" applyBorder="1" applyAlignment="1">
      <alignment horizontal="center" vertical="center"/>
    </xf>
    <xf numFmtId="0" fontId="3" fillId="39" borderId="212" xfId="0" applyFont="1" applyFill="1" applyBorder="1" applyAlignment="1">
      <alignment horizontal="center" vertical="center"/>
    </xf>
    <xf numFmtId="0" fontId="3" fillId="39" borderId="188" xfId="0" applyFont="1" applyFill="1" applyBorder="1" applyAlignment="1">
      <alignment horizontal="center" vertical="center"/>
    </xf>
    <xf numFmtId="9" fontId="3" fillId="0" borderId="145" xfId="1" applyFont="1" applyBorder="1" applyAlignment="1">
      <alignment horizontal="center" vertical="center"/>
    </xf>
    <xf numFmtId="9" fontId="3" fillId="0" borderId="127" xfId="1" applyFont="1" applyBorder="1" applyAlignment="1">
      <alignment horizontal="center" vertical="center"/>
    </xf>
    <xf numFmtId="9" fontId="20" fillId="0" borderId="227" xfId="1" applyFont="1" applyFill="1" applyBorder="1" applyAlignment="1">
      <alignment horizontal="center"/>
    </xf>
    <xf numFmtId="9" fontId="20" fillId="0" borderId="226" xfId="1" applyFont="1" applyFill="1" applyBorder="1" applyAlignment="1">
      <alignment horizontal="center"/>
    </xf>
    <xf numFmtId="165" fontId="0" fillId="0" borderId="165" xfId="0" applyNumberFormat="1" applyBorder="1" applyAlignment="1">
      <alignment horizontal="center" vertical="center"/>
    </xf>
    <xf numFmtId="9" fontId="11" fillId="0" borderId="150" xfId="1" applyFont="1" applyBorder="1" applyAlignment="1">
      <alignment horizontal="center"/>
    </xf>
    <xf numFmtId="0" fontId="0" fillId="0" borderId="152" xfId="0" applyBorder="1" applyAlignment="1">
      <alignment horizontal="center" vertical="center"/>
    </xf>
    <xf numFmtId="0" fontId="0" fillId="0" borderId="116" xfId="0" applyBorder="1" applyAlignment="1">
      <alignment horizontal="center" vertical="center"/>
    </xf>
    <xf numFmtId="0" fontId="0" fillId="0" borderId="108" xfId="0" applyBorder="1" applyAlignment="1">
      <alignment horizontal="center" vertical="center"/>
    </xf>
    <xf numFmtId="0" fontId="0" fillId="0" borderId="113" xfId="0" applyBorder="1" applyAlignment="1">
      <alignment horizontal="center" vertical="center"/>
    </xf>
    <xf numFmtId="0" fontId="45" fillId="15" borderId="149" xfId="0" applyFont="1" applyFill="1" applyBorder="1" applyAlignment="1">
      <alignment horizontal="center" vertical="center" wrapText="1"/>
    </xf>
    <xf numFmtId="0" fontId="45" fillId="15" borderId="150" xfId="0" applyFont="1" applyFill="1" applyBorder="1" applyAlignment="1">
      <alignment horizontal="center" vertical="center" wrapText="1"/>
    </xf>
    <xf numFmtId="0" fontId="45" fillId="15" borderId="151" xfId="0" applyFont="1" applyFill="1" applyBorder="1" applyAlignment="1">
      <alignment horizontal="center" vertical="center" wrapText="1"/>
    </xf>
    <xf numFmtId="9" fontId="11" fillId="0" borderId="149" xfId="1" applyFont="1" applyBorder="1" applyAlignment="1">
      <alignment horizontal="center"/>
    </xf>
    <xf numFmtId="9" fontId="11" fillId="0" borderId="233" xfId="1" applyFont="1" applyBorder="1" applyAlignment="1">
      <alignment horizontal="center"/>
    </xf>
    <xf numFmtId="0" fontId="45" fillId="15" borderId="128" xfId="0" applyFont="1" applyFill="1" applyBorder="1" applyAlignment="1">
      <alignment horizontal="center" vertical="center" wrapText="1"/>
    </xf>
    <xf numFmtId="0" fontId="45" fillId="15" borderId="90" xfId="0" applyFont="1" applyFill="1" applyBorder="1" applyAlignment="1">
      <alignment horizontal="center" vertical="center" wrapText="1"/>
    </xf>
    <xf numFmtId="0" fontId="45" fillId="15" borderId="129" xfId="0" applyFont="1" applyFill="1" applyBorder="1" applyAlignment="1">
      <alignment horizontal="center" vertical="center" wrapText="1"/>
    </xf>
    <xf numFmtId="9" fontId="11" fillId="0" borderId="229" xfId="1" applyFont="1" applyFill="1" applyBorder="1" applyAlignment="1">
      <alignment horizontal="center"/>
    </xf>
    <xf numFmtId="0" fontId="45" fillId="15" borderId="175" xfId="0" applyFont="1" applyFill="1" applyBorder="1" applyAlignment="1">
      <alignment horizontal="center" vertical="center" wrapText="1"/>
    </xf>
    <xf numFmtId="0" fontId="45" fillId="15" borderId="176" xfId="0" applyFont="1" applyFill="1" applyBorder="1" applyAlignment="1">
      <alignment horizontal="center" vertical="center" wrapText="1"/>
    </xf>
    <xf numFmtId="0" fontId="45" fillId="15" borderId="206" xfId="0" applyFont="1" applyFill="1" applyBorder="1" applyAlignment="1">
      <alignment horizontal="center" vertical="center" wrapText="1"/>
    </xf>
    <xf numFmtId="9" fontId="20" fillId="0" borderId="225" xfId="1" applyFont="1" applyFill="1" applyBorder="1" applyAlignment="1">
      <alignment horizontal="center"/>
    </xf>
    <xf numFmtId="0" fontId="0" fillId="0" borderId="165" xfId="0" applyBorder="1" applyAlignment="1">
      <alignment horizontal="center"/>
    </xf>
    <xf numFmtId="49" fontId="0" fillId="0" borderId="165" xfId="0" applyNumberFormat="1" applyBorder="1" applyAlignment="1">
      <alignment horizontal="center"/>
    </xf>
    <xf numFmtId="0" fontId="0" fillId="0" borderId="230" xfId="0" applyBorder="1" applyAlignment="1">
      <alignment horizontal="center" vertical="center"/>
    </xf>
    <xf numFmtId="0" fontId="0" fillId="0" borderId="126" xfId="0" applyBorder="1" applyAlignment="1">
      <alignment horizontal="center" vertical="center"/>
    </xf>
    <xf numFmtId="0" fontId="0" fillId="0" borderId="131" xfId="0" applyBorder="1" applyAlignment="1">
      <alignment horizontal="center" vertical="center"/>
    </xf>
    <xf numFmtId="0" fontId="0" fillId="0" borderId="154" xfId="0" applyBorder="1" applyAlignment="1">
      <alignment horizontal="center" vertical="center"/>
    </xf>
    <xf numFmtId="1" fontId="0" fillId="0" borderId="105" xfId="0" applyNumberFormat="1" applyBorder="1" applyAlignment="1">
      <alignment horizontal="center" vertical="center"/>
    </xf>
    <xf numFmtId="1" fontId="0" fillId="0" borderId="151" xfId="0" applyNumberFormat="1" applyBorder="1" applyAlignment="1">
      <alignment horizontal="center" vertical="center"/>
    </xf>
    <xf numFmtId="1" fontId="3" fillId="0" borderId="105" xfId="0" applyNumberFormat="1" applyFont="1" applyBorder="1" applyAlignment="1">
      <alignment horizontal="center" vertical="center"/>
    </xf>
    <xf numFmtId="1" fontId="3" fillId="0" borderId="89" xfId="0" applyNumberFormat="1" applyFont="1" applyBorder="1" applyAlignment="1">
      <alignment horizontal="center" vertical="center"/>
    </xf>
    <xf numFmtId="0" fontId="0" fillId="0" borderId="165" xfId="0" applyBorder="1" applyAlignment="1">
      <alignment vertical="center"/>
    </xf>
    <xf numFmtId="0" fontId="3" fillId="15" borderId="197" xfId="0" applyFont="1" applyFill="1" applyBorder="1" applyAlignment="1">
      <alignment horizontal="center"/>
    </xf>
    <xf numFmtId="0" fontId="3" fillId="15" borderId="198" xfId="0" applyFont="1" applyFill="1" applyBorder="1" applyAlignment="1">
      <alignment horizontal="center"/>
    </xf>
    <xf numFmtId="14" fontId="10" fillId="0" borderId="131" xfId="0" applyNumberFormat="1" applyFont="1" applyBorder="1" applyAlignment="1">
      <alignment horizontal="center" vertical="center"/>
    </xf>
    <xf numFmtId="14" fontId="10" fillId="0" borderId="154" xfId="0" applyNumberFormat="1" applyFont="1" applyBorder="1" applyAlignment="1">
      <alignment horizontal="center" vertical="center"/>
    </xf>
    <xf numFmtId="0" fontId="0" fillId="39" borderId="117" xfId="0" applyFill="1" applyBorder="1" applyAlignment="1">
      <alignment horizontal="center" vertical="center"/>
    </xf>
    <xf numFmtId="0" fontId="0" fillId="39" borderId="119" xfId="0" applyFill="1" applyBorder="1" applyAlignment="1">
      <alignment horizontal="center" vertical="center"/>
    </xf>
    <xf numFmtId="0" fontId="0" fillId="39" borderId="122" xfId="0" applyFill="1" applyBorder="1" applyAlignment="1">
      <alignment horizontal="center" vertical="center"/>
    </xf>
    <xf numFmtId="0" fontId="0" fillId="39" borderId="124" xfId="0" applyFill="1" applyBorder="1" applyAlignment="1">
      <alignment horizontal="center" vertical="center"/>
    </xf>
    <xf numFmtId="14" fontId="10" fillId="0" borderId="127" xfId="0" applyNumberFormat="1" applyFont="1" applyBorder="1" applyAlignment="1">
      <alignment horizontal="center" vertical="center"/>
    </xf>
    <xf numFmtId="0" fontId="3" fillId="0" borderId="149" xfId="0" applyFont="1" applyBorder="1" applyAlignment="1">
      <alignment horizontal="center" vertical="center"/>
    </xf>
    <xf numFmtId="0" fontId="3" fillId="0" borderId="151" xfId="0" applyFont="1" applyBorder="1" applyAlignment="1">
      <alignment horizontal="center" vertical="center"/>
    </xf>
    <xf numFmtId="0" fontId="0" fillId="0" borderId="146" xfId="0" applyBorder="1" applyAlignment="1">
      <alignment horizontal="center" vertical="center"/>
    </xf>
    <xf numFmtId="0" fontId="0" fillId="0" borderId="148" xfId="0" applyBorder="1" applyAlignment="1">
      <alignment horizontal="center" vertical="center"/>
    </xf>
    <xf numFmtId="1" fontId="3" fillId="0" borderId="151" xfId="0" applyNumberFormat="1" applyFont="1" applyBorder="1" applyAlignment="1">
      <alignment horizontal="center" vertical="center"/>
    </xf>
    <xf numFmtId="180" fontId="15" fillId="0" borderId="79" xfId="3" applyNumberFormat="1" applyFont="1" applyBorder="1" applyAlignment="1">
      <alignment horizontal="center"/>
    </xf>
    <xf numFmtId="180" fontId="15" fillId="0" borderId="0" xfId="3" applyNumberFormat="1" applyFont="1" applyAlignment="1">
      <alignment horizontal="center"/>
    </xf>
    <xf numFmtId="0" fontId="15" fillId="0" borderId="79" xfId="0" applyFont="1" applyBorder="1" applyAlignment="1">
      <alignment horizontal="center"/>
    </xf>
    <xf numFmtId="0" fontId="15" fillId="0" borderId="0" xfId="0" applyFont="1" applyAlignment="1">
      <alignment horizontal="center"/>
    </xf>
    <xf numFmtId="171" fontId="15" fillId="0" borderId="79" xfId="3" applyNumberFormat="1" applyFont="1" applyBorder="1" applyAlignment="1">
      <alignment horizontal="center"/>
    </xf>
    <xf numFmtId="171" fontId="15" fillId="0" borderId="0" xfId="3" applyNumberFormat="1" applyFont="1" applyAlignment="1">
      <alignment horizontal="center"/>
    </xf>
    <xf numFmtId="0" fontId="3" fillId="0" borderId="179" xfId="0" applyFont="1" applyBorder="1" applyAlignment="1">
      <alignment horizontal="center" vertical="center"/>
    </xf>
    <xf numFmtId="0" fontId="3" fillId="0" borderId="180" xfId="0" applyFont="1" applyBorder="1" applyAlignment="1">
      <alignment horizontal="center" vertical="center"/>
    </xf>
    <xf numFmtId="0" fontId="3" fillId="0" borderId="181" xfId="0" applyFont="1" applyBorder="1" applyAlignment="1">
      <alignment horizontal="center" vertical="center"/>
    </xf>
    <xf numFmtId="0" fontId="3" fillId="0" borderId="165" xfId="0" applyFont="1" applyBorder="1" applyAlignment="1">
      <alignment horizontal="center" vertical="center"/>
    </xf>
    <xf numFmtId="0" fontId="3" fillId="0" borderId="193" xfId="0" applyFont="1" applyBorder="1" applyAlignment="1">
      <alignment horizontal="center" vertical="center"/>
    </xf>
    <xf numFmtId="0" fontId="3" fillId="0" borderId="194" xfId="0" applyFont="1" applyBorder="1" applyAlignment="1">
      <alignment horizontal="center" vertical="center"/>
    </xf>
    <xf numFmtId="171" fontId="12" fillId="0" borderId="0" xfId="3" applyNumberFormat="1" applyFont="1" applyAlignment="1">
      <alignment horizontal="right" vertical="center"/>
    </xf>
    <xf numFmtId="0" fontId="3" fillId="0" borderId="185" xfId="0" applyFont="1" applyBorder="1" applyAlignment="1">
      <alignment horizontal="center" vertical="center"/>
    </xf>
    <xf numFmtId="0" fontId="0" fillId="0" borderId="180" xfId="0" applyBorder="1" applyAlignment="1">
      <alignment horizontal="center" vertical="center"/>
    </xf>
    <xf numFmtId="0" fontId="0" fillId="0" borderId="169" xfId="0" applyBorder="1" applyAlignment="1">
      <alignment horizontal="center"/>
    </xf>
    <xf numFmtId="0" fontId="0" fillId="0" borderId="164" xfId="0" applyBorder="1" applyAlignment="1">
      <alignment horizontal="center"/>
    </xf>
    <xf numFmtId="0" fontId="0" fillId="0" borderId="172" xfId="0" applyBorder="1" applyAlignment="1">
      <alignment horizontal="center"/>
    </xf>
    <xf numFmtId="0" fontId="0" fillId="0" borderId="163" xfId="0" applyBorder="1" applyAlignment="1">
      <alignment horizontal="center"/>
    </xf>
    <xf numFmtId="173" fontId="0" fillId="0" borderId="169" xfId="0" applyNumberFormat="1" applyBorder="1" applyAlignment="1">
      <alignment horizontal="center" vertical="center"/>
    </xf>
    <xf numFmtId="173" fontId="0" fillId="0" borderId="170" xfId="0" applyNumberFormat="1" applyBorder="1" applyAlignment="1">
      <alignment horizontal="center" vertical="center"/>
    </xf>
    <xf numFmtId="173" fontId="0" fillId="0" borderId="172" xfId="0" applyNumberFormat="1" applyBorder="1" applyAlignment="1">
      <alignment horizontal="center" vertical="center"/>
    </xf>
    <xf numFmtId="173" fontId="0" fillId="0" borderId="173" xfId="0" applyNumberFormat="1" applyBorder="1" applyAlignment="1">
      <alignment horizontal="center" vertical="center"/>
    </xf>
    <xf numFmtId="44" fontId="0" fillId="0" borderId="169" xfId="0" applyNumberFormat="1" applyBorder="1" applyAlignment="1">
      <alignment horizontal="center" vertical="center"/>
    </xf>
    <xf numFmtId="44" fontId="0" fillId="0" borderId="170" xfId="0" applyNumberFormat="1" applyBorder="1" applyAlignment="1">
      <alignment horizontal="center" vertical="center"/>
    </xf>
    <xf numFmtId="44" fontId="0" fillId="0" borderId="172" xfId="0" applyNumberFormat="1" applyBorder="1" applyAlignment="1">
      <alignment horizontal="center" vertical="center"/>
    </xf>
    <xf numFmtId="44" fontId="0" fillId="0" borderId="173" xfId="0" applyNumberFormat="1" applyBorder="1" applyAlignment="1">
      <alignment horizontal="center" vertical="center"/>
    </xf>
    <xf numFmtId="0" fontId="0" fillId="0" borderId="182" xfId="0" applyBorder="1" applyAlignment="1">
      <alignment horizontal="center" vertical="center"/>
    </xf>
    <xf numFmtId="0" fontId="0" fillId="0" borderId="172" xfId="0" applyBorder="1" applyAlignment="1">
      <alignment horizontal="center" vertical="center"/>
    </xf>
    <xf numFmtId="0" fontId="0" fillId="0" borderId="183" xfId="0" applyBorder="1" applyAlignment="1">
      <alignment horizontal="center" vertical="center"/>
    </xf>
    <xf numFmtId="180" fontId="3" fillId="0" borderId="169" xfId="0" applyNumberFormat="1" applyFont="1" applyBorder="1" applyAlignment="1">
      <alignment horizontal="center" vertical="center"/>
    </xf>
    <xf numFmtId="180" fontId="3" fillId="0" borderId="170" xfId="0" applyNumberFormat="1" applyFont="1" applyBorder="1" applyAlignment="1">
      <alignment horizontal="center" vertical="center"/>
    </xf>
    <xf numFmtId="180" fontId="3" fillId="0" borderId="171" xfId="0" applyNumberFormat="1" applyFont="1" applyBorder="1" applyAlignment="1">
      <alignment horizontal="center" vertical="center"/>
    </xf>
    <xf numFmtId="180" fontId="3" fillId="0" borderId="167" xfId="0" applyNumberFormat="1" applyFont="1" applyBorder="1" applyAlignment="1">
      <alignment horizontal="center" vertical="center"/>
    </xf>
    <xf numFmtId="180" fontId="3" fillId="0" borderId="182" xfId="0" applyNumberFormat="1" applyFont="1" applyBorder="1" applyAlignment="1">
      <alignment horizontal="center" vertical="center"/>
    </xf>
    <xf numFmtId="180" fontId="3" fillId="0" borderId="192" xfId="0" applyNumberFormat="1" applyFont="1" applyBorder="1" applyAlignment="1">
      <alignment horizontal="center" vertical="center"/>
    </xf>
    <xf numFmtId="180" fontId="3" fillId="11" borderId="171" xfId="0" applyNumberFormat="1" applyFont="1" applyFill="1" applyBorder="1" applyAlignment="1">
      <alignment horizontal="center" vertical="center"/>
    </xf>
    <xf numFmtId="0" fontId="3" fillId="11" borderId="167" xfId="0" applyFont="1" applyFill="1" applyBorder="1" applyAlignment="1">
      <alignment horizontal="center" vertical="center"/>
    </xf>
    <xf numFmtId="0" fontId="3" fillId="11" borderId="186" xfId="0" applyFont="1" applyFill="1" applyBorder="1" applyAlignment="1">
      <alignment horizontal="center" vertical="center"/>
    </xf>
    <xf numFmtId="0" fontId="3" fillId="11" borderId="187" xfId="0" applyFont="1" applyFill="1" applyBorder="1" applyAlignment="1">
      <alignment horizontal="center" vertical="center"/>
    </xf>
    <xf numFmtId="181" fontId="3" fillId="0" borderId="171" xfId="0" applyNumberFormat="1" applyFont="1" applyBorder="1" applyAlignment="1">
      <alignment horizontal="center" vertical="center"/>
    </xf>
    <xf numFmtId="0" fontId="3" fillId="0" borderId="192" xfId="0" applyFont="1" applyBorder="1" applyAlignment="1">
      <alignment horizontal="center" vertical="center"/>
    </xf>
    <xf numFmtId="0" fontId="3" fillId="0" borderId="186" xfId="0" applyFont="1" applyBorder="1" applyAlignment="1">
      <alignment horizontal="center" vertical="center"/>
    </xf>
    <xf numFmtId="0" fontId="3" fillId="0" borderId="188" xfId="0" applyFont="1" applyBorder="1" applyAlignment="1">
      <alignment horizontal="center" vertical="center"/>
    </xf>
    <xf numFmtId="173" fontId="0" fillId="0" borderId="189" xfId="0" applyNumberFormat="1" applyBorder="1" applyAlignment="1">
      <alignment horizontal="center" vertical="center"/>
    </xf>
    <xf numFmtId="173" fontId="0" fillId="0" borderId="190" xfId="0" applyNumberFormat="1" applyBorder="1" applyAlignment="1">
      <alignment horizontal="center" vertical="center"/>
    </xf>
    <xf numFmtId="0" fontId="0" fillId="0" borderId="105" xfId="0" applyBorder="1" applyAlignment="1">
      <alignment horizontal="center" vertical="center"/>
    </xf>
    <xf numFmtId="0" fontId="0" fillId="0" borderId="89" xfId="0" applyBorder="1" applyAlignment="1">
      <alignment horizontal="center" vertical="center"/>
    </xf>
    <xf numFmtId="0" fontId="12" fillId="0" borderId="108" xfId="0" applyFont="1" applyBorder="1" applyAlignment="1">
      <alignment horizontal="right" vertical="center"/>
    </xf>
    <xf numFmtId="167" fontId="12" fillId="0" borderId="109" xfId="0" applyNumberFormat="1" applyFont="1" applyBorder="1" applyAlignment="1">
      <alignment horizontal="right" vertical="center"/>
    </xf>
    <xf numFmtId="167" fontId="12" fillId="0" borderId="87" xfId="0" applyNumberFormat="1" applyFont="1" applyBorder="1" applyAlignment="1">
      <alignment horizontal="right" vertical="center"/>
    </xf>
    <xf numFmtId="167" fontId="12" fillId="0" borderId="111" xfId="0" applyNumberFormat="1" applyFont="1" applyBorder="1" applyAlignment="1">
      <alignment horizontal="right" vertical="center"/>
    </xf>
    <xf numFmtId="167" fontId="12" fillId="0" borderId="113" xfId="0" applyNumberFormat="1" applyFont="1" applyBorder="1" applyAlignment="1">
      <alignment horizontal="right" vertical="center"/>
    </xf>
    <xf numFmtId="167" fontId="12" fillId="0" borderId="114" xfId="0" applyNumberFormat="1" applyFont="1" applyBorder="1" applyAlignment="1">
      <alignment horizontal="right" vertical="center"/>
    </xf>
    <xf numFmtId="172" fontId="3" fillId="0" borderId="79" xfId="0" applyNumberFormat="1" applyFont="1" applyBorder="1" applyAlignment="1">
      <alignment horizontal="right"/>
    </xf>
    <xf numFmtId="172" fontId="3" fillId="0" borderId="77" xfId="0" applyNumberFormat="1" applyFont="1" applyBorder="1" applyAlignment="1">
      <alignment horizontal="right"/>
    </xf>
    <xf numFmtId="0" fontId="8" fillId="0" borderId="79" xfId="0" applyFont="1" applyBorder="1" applyAlignment="1">
      <alignment horizontal="center"/>
    </xf>
    <xf numFmtId="0" fontId="8" fillId="0" borderId="77" xfId="0" applyFont="1" applyBorder="1" applyAlignment="1">
      <alignment horizontal="center"/>
    </xf>
    <xf numFmtId="0" fontId="16" fillId="0" borderId="79" xfId="0" applyFont="1" applyBorder="1" applyAlignment="1">
      <alignment horizontal="left" vertical="center"/>
    </xf>
    <xf numFmtId="0" fontId="16" fillId="0" borderId="0" xfId="0" applyFont="1" applyAlignment="1">
      <alignment horizontal="left" vertical="center"/>
    </xf>
    <xf numFmtId="180" fontId="0" fillId="0" borderId="169" xfId="3" applyNumberFormat="1" applyFont="1" applyBorder="1" applyAlignment="1">
      <alignment horizontal="center" vertical="center"/>
    </xf>
    <xf numFmtId="180" fontId="0" fillId="0" borderId="170" xfId="3" applyNumberFormat="1" applyFont="1" applyBorder="1" applyAlignment="1">
      <alignment horizontal="center" vertical="center"/>
    </xf>
    <xf numFmtId="180" fontId="0" fillId="0" borderId="172" xfId="3" applyNumberFormat="1" applyFont="1" applyBorder="1" applyAlignment="1">
      <alignment horizontal="center" vertical="center"/>
    </xf>
    <xf numFmtId="180" fontId="0" fillId="0" borderId="173" xfId="3" applyNumberFormat="1" applyFont="1" applyBorder="1" applyAlignment="1">
      <alignment horizontal="center" vertical="center"/>
    </xf>
    <xf numFmtId="180" fontId="0" fillId="0" borderId="169" xfId="0" applyNumberFormat="1" applyBorder="1" applyAlignment="1">
      <alignment horizontal="center" vertical="center"/>
    </xf>
    <xf numFmtId="180" fontId="0" fillId="0" borderId="182" xfId="0" applyNumberFormat="1" applyBorder="1" applyAlignment="1">
      <alignment horizontal="center" vertical="center"/>
    </xf>
    <xf numFmtId="180" fontId="0" fillId="0" borderId="172" xfId="0" applyNumberFormat="1" applyBorder="1" applyAlignment="1">
      <alignment horizontal="center" vertical="center"/>
    </xf>
    <xf numFmtId="180" fontId="0" fillId="0" borderId="183" xfId="0" applyNumberFormat="1" applyBorder="1" applyAlignment="1">
      <alignment horizontal="center" vertical="center"/>
    </xf>
    <xf numFmtId="167" fontId="0" fillId="0" borderId="78" xfId="0" applyNumberFormat="1" applyBorder="1" applyAlignment="1">
      <alignment horizontal="center" vertical="center"/>
    </xf>
    <xf numFmtId="167" fontId="0" fillId="0" borderId="80" xfId="0" applyNumberFormat="1" applyBorder="1" applyAlignment="1">
      <alignment horizontal="center" vertical="center"/>
    </xf>
    <xf numFmtId="167" fontId="0" fillId="0" borderId="84" xfId="0" applyNumberFormat="1" applyBorder="1" applyAlignment="1">
      <alignment horizontal="center" vertical="center"/>
    </xf>
    <xf numFmtId="167" fontId="0" fillId="0" borderId="83" xfId="0" applyNumberFormat="1" applyBorder="1" applyAlignment="1">
      <alignment horizontal="center" vertical="center"/>
    </xf>
    <xf numFmtId="167" fontId="0" fillId="0" borderId="81" xfId="0" applyNumberFormat="1" applyBorder="1" applyAlignment="1">
      <alignment horizontal="center" vertical="center"/>
    </xf>
    <xf numFmtId="167" fontId="0" fillId="0" borderId="82" xfId="0" applyNumberFormat="1" applyBorder="1" applyAlignment="1">
      <alignment horizontal="center" vertical="center"/>
    </xf>
    <xf numFmtId="0" fontId="15" fillId="0" borderId="77" xfId="0" applyFont="1" applyBorder="1" applyAlignment="1">
      <alignment horizontal="center"/>
    </xf>
    <xf numFmtId="0" fontId="8" fillId="0" borderId="163" xfId="0" applyFont="1" applyBorder="1" applyAlignment="1">
      <alignment horizontal="left" vertical="center"/>
    </xf>
    <xf numFmtId="0" fontId="11" fillId="0" borderId="164" xfId="0" applyFont="1" applyBorder="1" applyAlignment="1">
      <alignment horizontal="left" vertical="center" wrapText="1"/>
    </xf>
    <xf numFmtId="0" fontId="11" fillId="0" borderId="0" xfId="0" applyFont="1" applyAlignment="1">
      <alignment horizontal="left" vertical="center" wrapText="1"/>
    </xf>
    <xf numFmtId="0" fontId="11" fillId="0" borderId="163" xfId="0" applyFont="1" applyBorder="1" applyAlignment="1">
      <alignment horizontal="left" vertical="center" wrapText="1"/>
    </xf>
    <xf numFmtId="0" fontId="8" fillId="0" borderId="0" xfId="0" applyFont="1" applyAlignment="1">
      <alignment horizontal="left" vertical="center"/>
    </xf>
    <xf numFmtId="171" fontId="12" fillId="0" borderId="79" xfId="3" applyNumberFormat="1" applyFont="1" applyBorder="1" applyAlignment="1">
      <alignment horizontal="center" vertical="center"/>
    </xf>
    <xf numFmtId="171" fontId="12" fillId="0" borderId="0" xfId="3" applyNumberFormat="1" applyFont="1" applyAlignment="1">
      <alignment horizontal="center" vertical="center"/>
    </xf>
    <xf numFmtId="172" fontId="32" fillId="0" borderId="155" xfId="0" applyNumberFormat="1" applyFont="1" applyBorder="1"/>
    <xf numFmtId="172" fontId="32" fillId="0" borderId="156" xfId="0" applyNumberFormat="1" applyFont="1" applyBorder="1"/>
    <xf numFmtId="171" fontId="8" fillId="0" borderId="0" xfId="3" applyNumberFormat="1" applyFont="1" applyAlignment="1">
      <alignment horizontal="right" vertical="center"/>
    </xf>
    <xf numFmtId="0" fontId="11" fillId="0" borderId="107"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87" xfId="0" applyFont="1" applyBorder="1" applyAlignment="1">
      <alignment horizontal="center" vertical="center" wrapText="1"/>
    </xf>
    <xf numFmtId="0" fontId="11" fillId="0" borderId="112" xfId="0" applyFont="1" applyBorder="1" applyAlignment="1">
      <alignment horizontal="center" vertical="center" wrapText="1"/>
    </xf>
    <xf numFmtId="0" fontId="11" fillId="0" borderId="113" xfId="0" applyFont="1" applyBorder="1" applyAlignment="1">
      <alignment horizontal="center" vertical="center" wrapText="1"/>
    </xf>
    <xf numFmtId="0" fontId="0" fillId="0" borderId="79" xfId="0" applyBorder="1" applyAlignment="1">
      <alignment horizontal="left" vertical="center"/>
    </xf>
    <xf numFmtId="0" fontId="0" fillId="0" borderId="77" xfId="0" applyBorder="1" applyAlignment="1">
      <alignment horizontal="left" vertical="center"/>
    </xf>
    <xf numFmtId="171" fontId="11" fillId="0" borderId="0" xfId="3" applyNumberFormat="1" applyFont="1" applyAlignment="1">
      <alignment horizontal="right" vertical="center"/>
    </xf>
    <xf numFmtId="171" fontId="0" fillId="0" borderId="163" xfId="3" applyNumberFormat="1" applyFont="1" applyBorder="1" applyAlignment="1">
      <alignment horizontal="right" vertical="center"/>
    </xf>
    <xf numFmtId="171" fontId="0" fillId="0" borderId="0" xfId="3" applyNumberFormat="1" applyFont="1" applyAlignment="1">
      <alignment horizontal="right" vertical="center"/>
    </xf>
    <xf numFmtId="171" fontId="0" fillId="0" borderId="79" xfId="3" applyNumberFormat="1" applyFont="1" applyBorder="1" applyAlignment="1">
      <alignment horizontal="right" vertical="center"/>
    </xf>
    <xf numFmtId="171" fontId="0" fillId="0" borderId="77" xfId="3" applyNumberFormat="1" applyFont="1" applyBorder="1" applyAlignment="1">
      <alignment horizontal="right" vertical="center"/>
    </xf>
    <xf numFmtId="171" fontId="12" fillId="0" borderId="164" xfId="3" applyNumberFormat="1" applyFont="1" applyBorder="1" applyAlignment="1">
      <alignment horizontal="right" vertical="center"/>
    </xf>
    <xf numFmtId="171" fontId="12" fillId="0" borderId="0" xfId="3" applyNumberFormat="1" applyFont="1" applyBorder="1" applyAlignment="1">
      <alignment horizontal="right" vertical="center"/>
    </xf>
    <xf numFmtId="171" fontId="12" fillId="0" borderId="163" xfId="3" applyNumberFormat="1" applyFont="1" applyBorder="1" applyAlignment="1">
      <alignment horizontal="right" vertical="center"/>
    </xf>
    <xf numFmtId="171" fontId="11" fillId="0" borderId="164" xfId="3" applyNumberFormat="1" applyFont="1" applyBorder="1" applyAlignment="1">
      <alignment horizontal="right" vertical="center"/>
    </xf>
    <xf numFmtId="171" fontId="11" fillId="0" borderId="163" xfId="3" applyNumberFormat="1" applyFont="1" applyBorder="1" applyAlignment="1">
      <alignment horizontal="right" vertical="center"/>
    </xf>
    <xf numFmtId="0" fontId="12" fillId="0" borderId="86" xfId="0" applyFont="1" applyBorder="1" applyAlignment="1">
      <alignment horizontal="center" vertical="center"/>
    </xf>
    <xf numFmtId="0" fontId="12" fillId="0" borderId="0" xfId="0" applyFont="1" applyAlignment="1">
      <alignment horizontal="center" vertical="center"/>
    </xf>
    <xf numFmtId="171" fontId="12" fillId="0" borderId="86" xfId="3" applyNumberFormat="1" applyFont="1" applyBorder="1" applyAlignment="1">
      <alignment horizontal="right"/>
    </xf>
    <xf numFmtId="171" fontId="12" fillId="0" borderId="0" xfId="3" applyNumberFormat="1" applyFont="1" applyAlignment="1">
      <alignment horizontal="right"/>
    </xf>
    <xf numFmtId="171" fontId="11" fillId="0" borderId="0" xfId="3" applyNumberFormat="1" applyFont="1" applyBorder="1" applyAlignment="1">
      <alignment horizontal="right" vertical="center"/>
    </xf>
    <xf numFmtId="171" fontId="0" fillId="0" borderId="0" xfId="3" applyNumberFormat="1" applyFont="1" applyBorder="1" applyAlignment="1">
      <alignment horizontal="right" vertical="center"/>
    </xf>
    <xf numFmtId="0" fontId="12" fillId="0" borderId="164" xfId="0" applyFont="1" applyBorder="1" applyAlignment="1">
      <alignment horizontal="left" vertical="center" wrapText="1"/>
    </xf>
    <xf numFmtId="0" fontId="12" fillId="0" borderId="0" xfId="0" applyFont="1" applyAlignment="1">
      <alignment horizontal="left" vertical="center" wrapText="1"/>
    </xf>
    <xf numFmtId="0" fontId="12" fillId="0" borderId="163" xfId="0" applyFont="1" applyBorder="1" applyAlignment="1">
      <alignment horizontal="left" vertical="center" wrapText="1"/>
    </xf>
    <xf numFmtId="180" fontId="15" fillId="0" borderId="77" xfId="3" applyNumberFormat="1" applyFont="1" applyBorder="1" applyAlignment="1">
      <alignment horizontal="center"/>
    </xf>
    <xf numFmtId="0" fontId="12" fillId="0" borderId="79" xfId="0" applyFont="1" applyBorder="1" applyAlignment="1">
      <alignment horizontal="center" vertical="center"/>
    </xf>
    <xf numFmtId="167" fontId="15" fillId="0" borderId="0" xfId="0" applyNumberFormat="1" applyFont="1" applyAlignment="1">
      <alignment horizontal="center"/>
    </xf>
    <xf numFmtId="167" fontId="15" fillId="0" borderId="77" xfId="0" applyNumberFormat="1" applyFont="1" applyBorder="1" applyAlignment="1">
      <alignment horizontal="center"/>
    </xf>
    <xf numFmtId="171" fontId="15" fillId="0" borderId="77" xfId="3" applyNumberFormat="1" applyFont="1" applyBorder="1" applyAlignment="1">
      <alignment horizontal="center"/>
    </xf>
    <xf numFmtId="167" fontId="15" fillId="0" borderId="79" xfId="0" applyNumberFormat="1" applyFont="1" applyBorder="1" applyAlignment="1">
      <alignment horizontal="center"/>
    </xf>
    <xf numFmtId="180" fontId="0" fillId="0" borderId="0" xfId="3" applyNumberFormat="1" applyFont="1" applyAlignment="1">
      <alignment horizontal="right"/>
    </xf>
    <xf numFmtId="180" fontId="0" fillId="0" borderId="77" xfId="3" applyNumberFormat="1" applyFont="1" applyBorder="1" applyAlignment="1">
      <alignment horizontal="right"/>
    </xf>
    <xf numFmtId="0" fontId="11" fillId="0" borderId="164" xfId="0" applyFont="1" applyBorder="1" applyAlignment="1">
      <alignment horizontal="left" vertical="center"/>
    </xf>
    <xf numFmtId="0" fontId="11" fillId="0" borderId="163" xfId="0" applyFont="1" applyBorder="1" applyAlignment="1">
      <alignment horizontal="left" vertical="center"/>
    </xf>
    <xf numFmtId="0" fontId="12" fillId="0" borderId="164" xfId="0" applyFont="1" applyBorder="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left" vertical="center"/>
    </xf>
    <xf numFmtId="0" fontId="12" fillId="0" borderId="79" xfId="0" applyFont="1" applyBorder="1" applyAlignment="1">
      <alignment horizontal="left" vertical="center"/>
    </xf>
    <xf numFmtId="0" fontId="12" fillId="0" borderId="0" xfId="0" applyFont="1" applyAlignment="1">
      <alignment horizontal="left" vertical="center"/>
    </xf>
    <xf numFmtId="181" fontId="0" fillId="0" borderId="189" xfId="0" applyNumberFormat="1" applyBorder="1" applyAlignment="1">
      <alignment horizontal="center" vertical="center"/>
    </xf>
    <xf numFmtId="0" fontId="0" fillId="0" borderId="191" xfId="0" applyBorder="1" applyAlignment="1">
      <alignment horizontal="center" vertical="center"/>
    </xf>
    <xf numFmtId="0" fontId="0" fillId="29" borderId="164" xfId="0" applyFill="1" applyBorder="1" applyAlignment="1">
      <alignment horizontal="center"/>
    </xf>
    <xf numFmtId="0" fontId="0" fillId="29" borderId="0" xfId="0" applyFill="1" applyAlignment="1">
      <alignment horizontal="center"/>
    </xf>
    <xf numFmtId="44" fontId="16" fillId="0" borderId="79" xfId="3" applyFont="1" applyBorder="1" applyAlignment="1">
      <alignment horizontal="left" vertical="center"/>
    </xf>
    <xf numFmtId="44" fontId="16" fillId="0" borderId="0" xfId="3" applyFont="1" applyBorder="1" applyAlignment="1">
      <alignment horizontal="left" vertical="center"/>
    </xf>
    <xf numFmtId="0" fontId="3" fillId="0" borderId="0" xfId="0" applyFont="1" applyAlignment="1">
      <alignment horizontal="center" vertical="center"/>
    </xf>
    <xf numFmtId="172" fontId="32" fillId="0" borderId="79" xfId="0" applyNumberFormat="1" applyFont="1" applyBorder="1" applyAlignment="1">
      <alignment horizontal="center"/>
    </xf>
    <xf numFmtId="172" fontId="32" fillId="0" borderId="77" xfId="0" applyNumberFormat="1" applyFont="1" applyBorder="1" applyAlignment="1">
      <alignment horizontal="center"/>
    </xf>
    <xf numFmtId="171" fontId="0" fillId="0" borderId="0" xfId="3" applyNumberFormat="1" applyFont="1" applyBorder="1" applyAlignment="1">
      <alignment horizontal="center" vertical="center"/>
    </xf>
    <xf numFmtId="171" fontId="8" fillId="0" borderId="79" xfId="3" applyNumberFormat="1" applyFont="1" applyBorder="1" applyAlignment="1">
      <alignment horizontal="center"/>
    </xf>
    <xf numFmtId="171" fontId="8" fillId="0" borderId="77" xfId="3" applyNumberFormat="1" applyFont="1" applyBorder="1" applyAlignment="1">
      <alignment horizontal="center"/>
    </xf>
    <xf numFmtId="172" fontId="32" fillId="0" borderId="155" xfId="0" applyNumberFormat="1" applyFont="1" applyBorder="1" applyAlignment="1">
      <alignment horizontal="center"/>
    </xf>
    <xf numFmtId="169" fontId="8" fillId="0" borderId="79" xfId="0" applyNumberFormat="1" applyFont="1" applyBorder="1" applyAlignment="1">
      <alignment horizontal="center"/>
    </xf>
    <xf numFmtId="169" fontId="8" fillId="0" borderId="77" xfId="0" applyNumberFormat="1" applyFont="1" applyBorder="1" applyAlignment="1">
      <alignment horizontal="center"/>
    </xf>
    <xf numFmtId="0" fontId="11" fillId="0" borderId="0" xfId="0" applyFont="1" applyAlignment="1">
      <alignment horizontal="center" vertical="center"/>
    </xf>
    <xf numFmtId="0" fontId="11" fillId="0" borderId="77" xfId="0" applyFont="1" applyBorder="1" applyAlignment="1">
      <alignment horizontal="center" vertical="center"/>
    </xf>
    <xf numFmtId="171" fontId="3" fillId="0" borderId="0" xfId="3" applyNumberFormat="1" applyFont="1" applyAlignment="1">
      <alignment horizontal="center" vertical="center"/>
    </xf>
    <xf numFmtId="171" fontId="3" fillId="0" borderId="77" xfId="3" applyNumberFormat="1" applyFont="1" applyBorder="1" applyAlignment="1">
      <alignment horizontal="center" vertical="center"/>
    </xf>
    <xf numFmtId="0" fontId="6" fillId="15" borderId="108" xfId="0" applyFont="1" applyFill="1" applyBorder="1" applyAlignment="1">
      <alignment horizontal="center" vertical="center"/>
    </xf>
    <xf numFmtId="0" fontId="6" fillId="15" borderId="105" xfId="0" applyFont="1" applyFill="1" applyBorder="1" applyAlignment="1">
      <alignment horizontal="center" vertical="center"/>
    </xf>
    <xf numFmtId="0" fontId="44" fillId="15" borderId="107" xfId="0" applyFont="1" applyFill="1" applyBorder="1" applyAlignment="1">
      <alignment horizontal="center" vertical="center" wrapText="1"/>
    </xf>
    <xf numFmtId="0" fontId="44" fillId="15" borderId="110" xfId="0" applyFont="1" applyFill="1" applyBorder="1" applyAlignment="1">
      <alignment horizontal="center" vertical="center" wrapText="1"/>
    </xf>
    <xf numFmtId="0" fontId="44" fillId="15" borderId="112" xfId="0" applyFont="1" applyFill="1" applyBorder="1" applyAlignment="1">
      <alignment horizontal="center" vertical="center" wrapText="1"/>
    </xf>
    <xf numFmtId="0" fontId="3" fillId="10" borderId="181" xfId="0" applyFont="1" applyFill="1" applyBorder="1" applyAlignment="1">
      <alignment horizontal="center" vertical="center"/>
    </xf>
    <xf numFmtId="0" fontId="3" fillId="10" borderId="165" xfId="0" applyFont="1" applyFill="1" applyBorder="1" applyAlignment="1">
      <alignment horizontal="center" vertical="center"/>
    </xf>
    <xf numFmtId="0" fontId="3" fillId="10" borderId="201" xfId="0" applyFont="1" applyFill="1" applyBorder="1" applyAlignment="1">
      <alignment horizontal="center" vertical="center"/>
    </xf>
    <xf numFmtId="0" fontId="3" fillId="10" borderId="184" xfId="0" applyFont="1" applyFill="1" applyBorder="1" applyAlignment="1">
      <alignment horizontal="center" vertical="center"/>
    </xf>
    <xf numFmtId="0" fontId="3" fillId="10" borderId="185" xfId="0" applyFont="1" applyFill="1" applyBorder="1" applyAlignment="1">
      <alignment horizontal="center" vertical="center"/>
    </xf>
    <xf numFmtId="0" fontId="3" fillId="10" borderId="202" xfId="0" applyFont="1" applyFill="1" applyBorder="1" applyAlignment="1">
      <alignment horizontal="center" vertical="center"/>
    </xf>
    <xf numFmtId="0" fontId="3" fillId="46" borderId="181" xfId="0" applyFont="1" applyFill="1" applyBorder="1" applyAlignment="1">
      <alignment horizontal="center" vertical="center"/>
    </xf>
    <xf numFmtId="0" fontId="3" fillId="46" borderId="165" xfId="0" applyFont="1" applyFill="1" applyBorder="1" applyAlignment="1">
      <alignment horizontal="center" vertical="center"/>
    </xf>
    <xf numFmtId="0" fontId="3" fillId="46" borderId="201" xfId="0" applyFont="1" applyFill="1" applyBorder="1" applyAlignment="1">
      <alignment horizontal="center" vertical="center"/>
    </xf>
    <xf numFmtId="171" fontId="0" fillId="0" borderId="201" xfId="3" applyNumberFormat="1" applyFont="1" applyFill="1" applyBorder="1" applyAlignment="1">
      <alignment horizontal="center" vertical="center"/>
    </xf>
    <xf numFmtId="171" fontId="0" fillId="0" borderId="202" xfId="3" applyNumberFormat="1" applyFont="1" applyFill="1" applyBorder="1" applyAlignment="1">
      <alignment horizontal="center" vertical="center"/>
    </xf>
    <xf numFmtId="168" fontId="0" fillId="0" borderId="165" xfId="0" applyNumberFormat="1" applyBorder="1" applyAlignment="1">
      <alignment horizontal="center"/>
    </xf>
    <xf numFmtId="168" fontId="0" fillId="0" borderId="185" xfId="0" applyNumberFormat="1" applyBorder="1" applyAlignment="1">
      <alignment horizontal="center"/>
    </xf>
    <xf numFmtId="165" fontId="0" fillId="0" borderId="185" xfId="0" applyNumberFormat="1" applyBorder="1" applyAlignment="1">
      <alignment horizontal="center" vertical="center"/>
    </xf>
    <xf numFmtId="0" fontId="0" fillId="0" borderId="214" xfId="0" applyBorder="1" applyAlignment="1">
      <alignment horizontal="center" vertical="center"/>
    </xf>
    <xf numFmtId="9" fontId="0" fillId="0" borderId="165" xfId="1" applyFont="1" applyBorder="1" applyAlignment="1">
      <alignment horizontal="center" vertical="center"/>
    </xf>
    <xf numFmtId="9" fontId="0" fillId="0" borderId="185" xfId="1" applyFont="1" applyBorder="1" applyAlignment="1">
      <alignment horizontal="center" vertical="center"/>
    </xf>
    <xf numFmtId="0" fontId="0" fillId="0" borderId="149" xfId="0" applyBorder="1" applyAlignment="1">
      <alignment horizontal="center" vertical="center"/>
    </xf>
    <xf numFmtId="0" fontId="3" fillId="0" borderId="116" xfId="0" applyFont="1" applyBorder="1" applyAlignment="1">
      <alignment horizontal="center" vertical="center"/>
    </xf>
    <xf numFmtId="0" fontId="3" fillId="0" borderId="114" xfId="0" applyFont="1" applyBorder="1" applyAlignment="1">
      <alignment horizontal="center" vertical="center"/>
    </xf>
    <xf numFmtId="0" fontId="45" fillId="15" borderId="146" xfId="0" applyFont="1" applyFill="1" applyBorder="1" applyAlignment="1">
      <alignment horizontal="center" vertical="center" wrapText="1"/>
    </xf>
    <xf numFmtId="0" fontId="45" fillId="15" borderId="147" xfId="0" applyFont="1" applyFill="1" applyBorder="1" applyAlignment="1">
      <alignment horizontal="center" vertical="center" wrapText="1"/>
    </xf>
    <xf numFmtId="0" fontId="45" fillId="15" borderId="148" xfId="0" applyFont="1" applyFill="1" applyBorder="1" applyAlignment="1">
      <alignment horizontal="center" vertical="center" wrapText="1"/>
    </xf>
    <xf numFmtId="0" fontId="44" fillId="15" borderId="149" xfId="0" applyFont="1" applyFill="1" applyBorder="1" applyAlignment="1">
      <alignment horizontal="center" vertical="center"/>
    </xf>
    <xf numFmtId="0" fontId="44" fillId="15" borderId="150" xfId="0" applyFont="1" applyFill="1" applyBorder="1" applyAlignment="1">
      <alignment horizontal="center" vertical="center"/>
    </xf>
    <xf numFmtId="0" fontId="44" fillId="15" borderId="151" xfId="0" applyFont="1" applyFill="1" applyBorder="1" applyAlignment="1">
      <alignment horizontal="center" vertical="center"/>
    </xf>
    <xf numFmtId="0" fontId="3" fillId="0" borderId="107" xfId="0" applyFont="1" applyBorder="1" applyAlignment="1">
      <alignment horizontal="center" vertical="center"/>
    </xf>
    <xf numFmtId="0" fontId="3" fillId="0" borderId="112" xfId="0" applyFont="1" applyBorder="1" applyAlignment="1">
      <alignment horizontal="center" vertical="center"/>
    </xf>
    <xf numFmtId="0" fontId="3" fillId="0" borderId="115" xfId="0" applyFont="1" applyBorder="1" applyAlignment="1">
      <alignment horizontal="center" vertical="center"/>
    </xf>
    <xf numFmtId="0" fontId="44" fillId="15" borderId="117" xfId="0" applyFont="1" applyFill="1" applyBorder="1" applyAlignment="1">
      <alignment horizontal="center" vertical="center"/>
    </xf>
    <xf numFmtId="0" fontId="44" fillId="15" borderId="119" xfId="0" applyFont="1" applyFill="1" applyBorder="1" applyAlignment="1">
      <alignment horizontal="center" vertical="center"/>
    </xf>
    <xf numFmtId="0" fontId="44" fillId="15" borderId="120" xfId="0" applyFont="1" applyFill="1" applyBorder="1" applyAlignment="1">
      <alignment horizontal="center" vertical="center"/>
    </xf>
    <xf numFmtId="0" fontId="44" fillId="15" borderId="121" xfId="0" applyFont="1" applyFill="1" applyBorder="1" applyAlignment="1">
      <alignment horizontal="center" vertical="center"/>
    </xf>
    <xf numFmtId="0" fontId="44" fillId="15" borderId="122" xfId="0" applyFont="1" applyFill="1" applyBorder="1" applyAlignment="1">
      <alignment horizontal="center" vertical="center"/>
    </xf>
    <xf numFmtId="0" fontId="44" fillId="15" borderId="124" xfId="0" applyFont="1" applyFill="1" applyBorder="1" applyAlignment="1">
      <alignment horizontal="center" vertical="center"/>
    </xf>
    <xf numFmtId="14" fontId="10" fillId="0" borderId="116" xfId="0" applyNumberFormat="1" applyFont="1" applyBorder="1" applyAlignment="1">
      <alignment horizontal="center" vertical="center"/>
    </xf>
    <xf numFmtId="1" fontId="0" fillId="0" borderId="130" xfId="0" applyNumberFormat="1" applyBorder="1" applyAlignment="1">
      <alignment horizontal="center" vertical="center"/>
    </xf>
    <xf numFmtId="1" fontId="0" fillId="0" borderId="115" xfId="0" applyNumberFormat="1" applyBorder="1" applyAlignment="1">
      <alignment horizontal="center" vertical="center"/>
    </xf>
    <xf numFmtId="14" fontId="10" fillId="0" borderId="145" xfId="0" applyNumberFormat="1" applyFont="1" applyBorder="1" applyAlignment="1">
      <alignment horizontal="center" vertical="center"/>
    </xf>
    <xf numFmtId="14" fontId="10" fillId="0" borderId="152" xfId="0" applyNumberFormat="1" applyFont="1" applyBorder="1" applyAlignment="1">
      <alignment horizontal="center" vertical="center"/>
    </xf>
    <xf numFmtId="1" fontId="0" fillId="0" borderId="146" xfId="0" applyNumberFormat="1" applyBorder="1" applyAlignment="1">
      <alignment horizontal="center" vertical="center"/>
    </xf>
    <xf numFmtId="0" fontId="44" fillId="15" borderId="152" xfId="0" applyFont="1" applyFill="1" applyBorder="1" applyAlignment="1">
      <alignment horizontal="center" vertical="center"/>
    </xf>
    <xf numFmtId="0" fontId="44" fillId="15" borderId="153" xfId="0" applyFont="1" applyFill="1" applyBorder="1" applyAlignment="1">
      <alignment horizontal="center" vertical="center"/>
    </xf>
    <xf numFmtId="0" fontId="44" fillId="15" borderId="154" xfId="0" applyFont="1" applyFill="1" applyBorder="1" applyAlignment="1">
      <alignment horizontal="center" vertical="center"/>
    </xf>
    <xf numFmtId="166" fontId="0" fillId="0" borderId="87" xfId="0" applyNumberFormat="1" applyBorder="1" applyAlignment="1">
      <alignment horizontal="center"/>
    </xf>
    <xf numFmtId="166" fontId="0" fillId="0" borderId="113" xfId="0" applyNumberFormat="1" applyBorder="1" applyAlignment="1">
      <alignment horizontal="center"/>
    </xf>
    <xf numFmtId="0" fontId="0" fillId="0" borderId="136" xfId="0" applyBorder="1" applyAlignment="1">
      <alignment horizontal="center"/>
    </xf>
    <xf numFmtId="0" fontId="0" fillId="0" borderId="242" xfId="0" applyBorder="1" applyAlignment="1">
      <alignment horizontal="center"/>
    </xf>
    <xf numFmtId="0" fontId="0" fillId="0" borderId="243" xfId="0" applyBorder="1" applyAlignment="1">
      <alignment horizontal="center"/>
    </xf>
    <xf numFmtId="166" fontId="0" fillId="0" borderId="105" xfId="0" applyNumberFormat="1" applyBorder="1" applyAlignment="1">
      <alignment horizontal="center"/>
    </xf>
    <xf numFmtId="166" fontId="0" fillId="0" borderId="150" xfId="0" applyNumberFormat="1" applyBorder="1" applyAlignment="1">
      <alignment horizontal="center"/>
    </xf>
    <xf numFmtId="166" fontId="0" fillId="0" borderId="131" xfId="0" applyNumberFormat="1" applyBorder="1" applyAlignment="1">
      <alignment horizontal="center"/>
    </xf>
    <xf numFmtId="166" fontId="0" fillId="0" borderId="153" xfId="0" applyNumberFormat="1" applyBorder="1" applyAlignment="1">
      <alignment horizontal="center"/>
    </xf>
    <xf numFmtId="166" fontId="0" fillId="0" borderId="111" xfId="0" applyNumberFormat="1" applyBorder="1" applyAlignment="1">
      <alignment horizontal="center"/>
    </xf>
    <xf numFmtId="0" fontId="3" fillId="15" borderId="259" xfId="3" applyNumberFormat="1" applyFont="1" applyFill="1" applyBorder="1" applyAlignment="1">
      <alignment horizontal="center" vertical="center"/>
    </xf>
    <xf numFmtId="0" fontId="3" fillId="15" borderId="165" xfId="3" applyNumberFormat="1" applyFont="1" applyFill="1" applyBorder="1" applyAlignment="1">
      <alignment horizontal="center" vertical="center"/>
    </xf>
    <xf numFmtId="0" fontId="3" fillId="15" borderId="201" xfId="3" applyNumberFormat="1" applyFont="1" applyFill="1" applyBorder="1" applyAlignment="1">
      <alignment horizontal="center" vertical="center"/>
    </xf>
    <xf numFmtId="0" fontId="3" fillId="15" borderId="262" xfId="3" applyNumberFormat="1" applyFont="1" applyFill="1" applyBorder="1" applyAlignment="1">
      <alignment horizontal="center" vertical="center"/>
    </xf>
    <xf numFmtId="0" fontId="3" fillId="15" borderId="263" xfId="3" applyNumberFormat="1" applyFont="1" applyFill="1" applyBorder="1" applyAlignment="1">
      <alignment horizontal="center" vertical="center"/>
    </xf>
    <xf numFmtId="0" fontId="3" fillId="15" borderId="264" xfId="3" applyNumberFormat="1" applyFont="1" applyFill="1" applyBorder="1" applyAlignment="1">
      <alignment horizontal="center" vertical="center"/>
    </xf>
    <xf numFmtId="0" fontId="0" fillId="20" borderId="194" xfId="0" applyFill="1" applyBorder="1" applyAlignment="1">
      <alignment horizontal="center" vertical="center"/>
    </xf>
    <xf numFmtId="0" fontId="0" fillId="20" borderId="266" xfId="0" applyFill="1" applyBorder="1" applyAlignment="1">
      <alignment horizontal="center" vertical="center"/>
    </xf>
    <xf numFmtId="9" fontId="0" fillId="0" borderId="257" xfId="1" applyFont="1" applyBorder="1" applyAlignment="1">
      <alignment horizontal="center" vertical="center"/>
    </xf>
    <xf numFmtId="9" fontId="0" fillId="0" borderId="174" xfId="1" applyFont="1" applyBorder="1" applyAlignment="1">
      <alignment horizontal="center" vertical="center"/>
    </xf>
    <xf numFmtId="0" fontId="3" fillId="15" borderId="179" xfId="0" applyFont="1" applyFill="1" applyBorder="1" applyAlignment="1">
      <alignment horizontal="center" vertical="center"/>
    </xf>
    <xf numFmtId="0" fontId="3" fillId="15" borderId="180" xfId="0" applyFont="1" applyFill="1" applyBorder="1" applyAlignment="1">
      <alignment horizontal="center" vertical="center"/>
    </xf>
    <xf numFmtId="1" fontId="0" fillId="0" borderId="170" xfId="0" applyNumberFormat="1" applyBorder="1" applyAlignment="1">
      <alignment horizontal="center" vertical="center"/>
    </xf>
    <xf numFmtId="1" fontId="0" fillId="0" borderId="187" xfId="0" applyNumberFormat="1" applyBorder="1" applyAlignment="1">
      <alignment horizontal="center" vertical="center"/>
    </xf>
    <xf numFmtId="9" fontId="0" fillId="0" borderId="194" xfId="1" applyFont="1" applyBorder="1" applyAlignment="1">
      <alignment horizontal="center" vertical="center"/>
    </xf>
    <xf numFmtId="0" fontId="0" fillId="20" borderId="257" xfId="0" applyFill="1" applyBorder="1" applyAlignment="1">
      <alignment horizontal="center" vertical="center"/>
    </xf>
    <xf numFmtId="0" fontId="0" fillId="20" borderId="174" xfId="0" applyFill="1" applyBorder="1" applyAlignment="1">
      <alignment horizontal="center" vertical="center"/>
    </xf>
    <xf numFmtId="180" fontId="0" fillId="20" borderId="257" xfId="3" applyNumberFormat="1" applyFont="1" applyFill="1" applyBorder="1" applyAlignment="1">
      <alignment horizontal="center" vertical="center"/>
    </xf>
    <xf numFmtId="180" fontId="0" fillId="20" borderId="174" xfId="3" applyNumberFormat="1" applyFont="1" applyFill="1" applyBorder="1" applyAlignment="1">
      <alignment horizontal="center" vertical="center"/>
    </xf>
    <xf numFmtId="0" fontId="0" fillId="21" borderId="217" xfId="0" applyFill="1" applyBorder="1" applyAlignment="1">
      <alignment horizontal="left" vertical="center"/>
    </xf>
    <xf numFmtId="0" fontId="0" fillId="21" borderId="0" xfId="0" applyFill="1" applyAlignment="1">
      <alignment horizontal="left" vertical="center"/>
    </xf>
    <xf numFmtId="0" fontId="0" fillId="21" borderId="167" xfId="0" applyFill="1" applyBorder="1" applyAlignment="1">
      <alignment horizontal="left" vertical="center"/>
    </xf>
    <xf numFmtId="9" fontId="0" fillId="0" borderId="204" xfId="1" applyFont="1" applyBorder="1" applyAlignment="1">
      <alignment horizontal="center" vertical="center"/>
    </xf>
    <xf numFmtId="1" fontId="0" fillId="0" borderId="173" xfId="0" applyNumberFormat="1" applyBorder="1" applyAlignment="1">
      <alignment horizontal="center" vertical="center"/>
    </xf>
    <xf numFmtId="165" fontId="0" fillId="0" borderId="194" xfId="0" applyNumberFormat="1" applyBorder="1" applyAlignment="1">
      <alignment horizontal="center" vertical="center"/>
    </xf>
    <xf numFmtId="165" fontId="0" fillId="0" borderId="174" xfId="0" applyNumberFormat="1" applyBorder="1" applyAlignment="1">
      <alignment horizontal="center" vertical="center"/>
    </xf>
    <xf numFmtId="171" fontId="0" fillId="0" borderId="209" xfId="3" applyNumberFormat="1" applyFont="1" applyBorder="1" applyAlignment="1">
      <alignment horizontal="center" vertical="center"/>
    </xf>
    <xf numFmtId="171" fontId="0" fillId="0" borderId="208" xfId="3" applyNumberFormat="1" applyFont="1" applyBorder="1" applyAlignment="1">
      <alignment horizontal="center" vertical="center"/>
    </xf>
    <xf numFmtId="171" fontId="0" fillId="0" borderId="213" xfId="3" applyNumberFormat="1" applyFont="1" applyBorder="1" applyAlignment="1">
      <alignment horizontal="center" vertical="center"/>
    </xf>
    <xf numFmtId="0" fontId="3" fillId="15" borderId="253" xfId="0" applyFont="1" applyFill="1" applyBorder="1" applyAlignment="1">
      <alignment horizontal="center" vertical="center"/>
    </xf>
    <xf numFmtId="0" fontId="3" fillId="15" borderId="254" xfId="0" applyFont="1" applyFill="1" applyBorder="1" applyAlignment="1">
      <alignment horizontal="center" vertical="center"/>
    </xf>
    <xf numFmtId="0" fontId="3" fillId="15" borderId="255" xfId="0" applyFont="1" applyFill="1" applyBorder="1" applyAlignment="1">
      <alignment horizontal="center" vertical="center"/>
    </xf>
    <xf numFmtId="0" fontId="3" fillId="15" borderId="259" xfId="0" applyFont="1" applyFill="1" applyBorder="1" applyAlignment="1">
      <alignment horizontal="center" vertical="center"/>
    </xf>
    <xf numFmtId="0" fontId="3" fillId="15" borderId="201" xfId="0" applyFont="1" applyFill="1" applyBorder="1" applyAlignment="1">
      <alignment horizontal="center" vertical="center"/>
    </xf>
    <xf numFmtId="0" fontId="0" fillId="0" borderId="256" xfId="0" applyBorder="1" applyAlignment="1">
      <alignment horizontal="center" vertical="center"/>
    </xf>
    <xf numFmtId="0" fontId="0" fillId="0" borderId="173" xfId="0" applyBorder="1" applyAlignment="1">
      <alignment horizontal="center" vertical="center"/>
    </xf>
    <xf numFmtId="1" fontId="0" fillId="0" borderId="193" xfId="0" applyNumberFormat="1" applyBorder="1" applyAlignment="1">
      <alignment horizontal="center" vertical="center"/>
    </xf>
    <xf numFmtId="1" fontId="0" fillId="0" borderId="203" xfId="0" applyNumberFormat="1" applyBorder="1" applyAlignment="1">
      <alignment horizontal="center" vertical="center"/>
    </xf>
    <xf numFmtId="0" fontId="3" fillId="15" borderId="177" xfId="0" applyFont="1" applyFill="1" applyBorder="1" applyAlignment="1">
      <alignment horizontal="center" vertical="center"/>
    </xf>
    <xf numFmtId="0" fontId="3" fillId="15" borderId="164" xfId="0" applyFont="1" applyFill="1" applyBorder="1" applyAlignment="1">
      <alignment horizontal="center" vertical="center"/>
    </xf>
    <xf numFmtId="0" fontId="3" fillId="15" borderId="182" xfId="0" applyFont="1" applyFill="1" applyBorder="1" applyAlignment="1">
      <alignment horizontal="center" vertical="center"/>
    </xf>
    <xf numFmtId="0" fontId="3" fillId="15" borderId="240" xfId="0" applyFont="1" applyFill="1" applyBorder="1" applyAlignment="1">
      <alignment horizontal="center" vertical="center"/>
    </xf>
    <xf numFmtId="0" fontId="3" fillId="15" borderId="163" xfId="0" applyFont="1" applyFill="1" applyBorder="1" applyAlignment="1">
      <alignment horizontal="center" vertical="center"/>
    </xf>
    <xf numFmtId="0" fontId="3" fillId="15" borderId="183" xfId="0" applyFont="1" applyFill="1" applyBorder="1" applyAlignment="1">
      <alignment horizontal="center" vertical="center"/>
    </xf>
    <xf numFmtId="0" fontId="3" fillId="15" borderId="181" xfId="0" applyFont="1" applyFill="1" applyBorder="1" applyAlignment="1">
      <alignment horizontal="center" vertical="center"/>
    </xf>
    <xf numFmtId="0" fontId="3" fillId="15" borderId="184" xfId="0" applyFont="1" applyFill="1" applyBorder="1" applyAlignment="1">
      <alignment horizontal="center" vertical="center"/>
    </xf>
    <xf numFmtId="0" fontId="3" fillId="15" borderId="185" xfId="0" applyFont="1" applyFill="1" applyBorder="1" applyAlignment="1">
      <alignment horizontal="center" vertical="center"/>
    </xf>
    <xf numFmtId="0" fontId="3" fillId="15" borderId="202" xfId="0" applyFont="1" applyFill="1" applyBorder="1" applyAlignment="1">
      <alignment horizontal="center" vertical="center"/>
    </xf>
    <xf numFmtId="180" fontId="0" fillId="0" borderId="194" xfId="3" applyNumberFormat="1" applyFont="1" applyBorder="1" applyAlignment="1">
      <alignment horizontal="center" vertical="center"/>
    </xf>
    <xf numFmtId="180" fontId="0" fillId="0" borderId="174" xfId="3" applyNumberFormat="1" applyFont="1" applyBorder="1" applyAlignment="1">
      <alignment horizontal="center" vertical="center"/>
    </xf>
    <xf numFmtId="0" fontId="0" fillId="6" borderId="177" xfId="0" applyFill="1" applyBorder="1" applyAlignment="1">
      <alignment horizontal="left" vertical="center"/>
    </xf>
    <xf numFmtId="0" fontId="0" fillId="6" borderId="164" xfId="0" applyFill="1" applyBorder="1" applyAlignment="1">
      <alignment horizontal="left" vertical="center"/>
    </xf>
    <xf numFmtId="0" fontId="0" fillId="6" borderId="170" xfId="0" applyFill="1" applyBorder="1" applyAlignment="1">
      <alignment horizontal="left" vertical="center"/>
    </xf>
    <xf numFmtId="0" fontId="13" fillId="39" borderId="0" xfId="0" applyFont="1" applyFill="1" applyAlignment="1">
      <alignment horizontal="left"/>
    </xf>
    <xf numFmtId="0" fontId="0" fillId="15" borderId="200" xfId="0" applyFill="1" applyBorder="1" applyAlignment="1">
      <alignment horizontal="center" vertical="center" wrapText="1"/>
    </xf>
    <xf numFmtId="0" fontId="0" fillId="15" borderId="201" xfId="0" applyFill="1" applyBorder="1" applyAlignment="1">
      <alignment horizontal="center" vertical="center"/>
    </xf>
    <xf numFmtId="0" fontId="0" fillId="15" borderId="202" xfId="0" applyFill="1" applyBorder="1" applyAlignment="1">
      <alignment horizontal="center" vertical="center"/>
    </xf>
    <xf numFmtId="0" fontId="0" fillId="15" borderId="180" xfId="0" applyFill="1" applyBorder="1" applyAlignment="1">
      <alignment horizontal="center" vertical="center"/>
    </xf>
    <xf numFmtId="0" fontId="0" fillId="15" borderId="165" xfId="0" applyFill="1" applyBorder="1" applyAlignment="1">
      <alignment horizontal="center" vertical="center"/>
    </xf>
    <xf numFmtId="0" fontId="0" fillId="15" borderId="185" xfId="0" applyFill="1" applyBorder="1" applyAlignment="1">
      <alignment horizontal="center" vertical="center"/>
    </xf>
    <xf numFmtId="0" fontId="0" fillId="39" borderId="0" xfId="0" applyFill="1" applyAlignment="1">
      <alignment horizontal="center"/>
    </xf>
    <xf numFmtId="9" fontId="0" fillId="0" borderId="0" xfId="1" applyFont="1" applyBorder="1" applyAlignment="1">
      <alignment horizontal="center"/>
    </xf>
    <xf numFmtId="1" fontId="0" fillId="0" borderId="190" xfId="0" applyNumberFormat="1" applyBorder="1" applyAlignment="1">
      <alignment horizontal="center" vertical="center"/>
    </xf>
    <xf numFmtId="0" fontId="47" fillId="15" borderId="165" xfId="0" applyFont="1" applyFill="1" applyBorder="1" applyAlignment="1">
      <alignment horizontal="center" vertical="center" wrapText="1"/>
    </xf>
    <xf numFmtId="0" fontId="0" fillId="0" borderId="165" xfId="3" applyNumberFormat="1" applyFont="1" applyBorder="1" applyAlignment="1">
      <alignment horizontal="center" vertical="center"/>
    </xf>
    <xf numFmtId="0" fontId="0" fillId="0" borderId="194" xfId="0" applyBorder="1" applyAlignment="1">
      <alignment horizontal="center" vertical="center"/>
    </xf>
    <xf numFmtId="0" fontId="0" fillId="0" borderId="168" xfId="0" applyBorder="1" applyAlignment="1">
      <alignment horizontal="center" vertical="center"/>
    </xf>
    <xf numFmtId="0" fontId="0" fillId="0" borderId="174" xfId="0" applyBorder="1" applyAlignment="1">
      <alignment horizontal="center" vertical="center"/>
    </xf>
    <xf numFmtId="0" fontId="0" fillId="43" borderId="178" xfId="0" applyFill="1" applyBorder="1" applyAlignment="1">
      <alignment horizontal="left" vertical="center"/>
    </xf>
    <xf numFmtId="0" fontId="0" fillId="43" borderId="212" xfId="0" applyFill="1" applyBorder="1" applyAlignment="1">
      <alignment horizontal="left" vertical="center"/>
    </xf>
    <xf numFmtId="0" fontId="0" fillId="43" borderId="187" xfId="0" applyFill="1" applyBorder="1" applyAlignment="1">
      <alignment horizontal="left" vertical="center"/>
    </xf>
    <xf numFmtId="0" fontId="6" fillId="15" borderId="107" xfId="0" applyFont="1" applyFill="1" applyBorder="1" applyAlignment="1">
      <alignment horizontal="center" vertical="center"/>
    </xf>
    <xf numFmtId="0" fontId="6" fillId="15" borderId="130" xfId="0" applyFont="1" applyFill="1" applyBorder="1" applyAlignment="1">
      <alignment horizontal="center" vertical="center"/>
    </xf>
    <xf numFmtId="0" fontId="0" fillId="15" borderId="179" xfId="0" applyFill="1" applyBorder="1" applyAlignment="1">
      <alignment horizontal="center" vertical="center"/>
    </xf>
    <xf numFmtId="0" fontId="0" fillId="15" borderId="181" xfId="0" applyFill="1" applyBorder="1" applyAlignment="1">
      <alignment horizontal="center" vertical="center"/>
    </xf>
    <xf numFmtId="0" fontId="0" fillId="15" borderId="184" xfId="0" applyFill="1" applyBorder="1" applyAlignment="1">
      <alignment horizontal="center" vertical="center"/>
    </xf>
    <xf numFmtId="0" fontId="46" fillId="15" borderId="146" xfId="0" applyFont="1" applyFill="1" applyBorder="1" applyAlignment="1">
      <alignment horizontal="center" vertical="center"/>
    </xf>
    <xf numFmtId="0" fontId="46" fillId="15" borderId="147" xfId="0" applyFont="1" applyFill="1" applyBorder="1" applyAlignment="1">
      <alignment horizontal="center" vertical="center"/>
    </xf>
    <xf numFmtId="0" fontId="46" fillId="15" borderId="148" xfId="0" applyFont="1" applyFill="1" applyBorder="1" applyAlignment="1">
      <alignment horizontal="center" vertical="center"/>
    </xf>
    <xf numFmtId="166" fontId="3" fillId="0" borderId="108" xfId="0" applyNumberFormat="1" applyFont="1" applyBorder="1" applyAlignment="1">
      <alignment horizontal="center"/>
    </xf>
    <xf numFmtId="166" fontId="3" fillId="0" borderId="105" xfId="0" applyNumberFormat="1" applyFont="1" applyBorder="1" applyAlignment="1">
      <alignment horizontal="center"/>
    </xf>
    <xf numFmtId="166" fontId="3" fillId="0" borderId="109" xfId="0" applyNumberFormat="1" applyFont="1" applyBorder="1" applyAlignment="1">
      <alignment horizontal="center"/>
    </xf>
    <xf numFmtId="166" fontId="3" fillId="0" borderId="131" xfId="0" applyNumberFormat="1" applyFont="1" applyBorder="1" applyAlignment="1">
      <alignment horizontal="center"/>
    </xf>
    <xf numFmtId="0" fontId="46" fillId="15" borderId="149" xfId="0" applyFont="1" applyFill="1" applyBorder="1" applyAlignment="1">
      <alignment horizontal="center" vertical="center" wrapText="1"/>
    </xf>
    <xf numFmtId="0" fontId="46" fillId="15" borderId="150" xfId="0" applyFont="1" applyFill="1" applyBorder="1" applyAlignment="1">
      <alignment horizontal="center" vertical="center" wrapText="1"/>
    </xf>
    <xf numFmtId="0" fontId="46" fillId="15" borderId="151" xfId="0" applyFont="1" applyFill="1" applyBorder="1" applyAlignment="1">
      <alignment horizontal="center" vertical="center" wrapText="1"/>
    </xf>
    <xf numFmtId="0" fontId="46" fillId="15" borderId="152" xfId="0" applyFont="1" applyFill="1" applyBorder="1" applyAlignment="1">
      <alignment horizontal="center" vertical="center"/>
    </xf>
    <xf numFmtId="0" fontId="46" fillId="15" borderId="153" xfId="0" applyFont="1" applyFill="1" applyBorder="1" applyAlignment="1">
      <alignment horizontal="center" vertical="center"/>
    </xf>
    <xf numFmtId="0" fontId="46" fillId="15" borderId="154" xfId="0" applyFont="1" applyFill="1" applyBorder="1" applyAlignment="1">
      <alignment horizontal="center" vertical="center"/>
    </xf>
    <xf numFmtId="0" fontId="12" fillId="0" borderId="117" xfId="0" applyFont="1" applyBorder="1" applyAlignment="1">
      <alignment horizontal="center" vertical="center"/>
    </xf>
    <xf numFmtId="0" fontId="12" fillId="0" borderId="120" xfId="0" applyFont="1" applyBorder="1" applyAlignment="1">
      <alignment horizontal="center" vertical="center"/>
    </xf>
    <xf numFmtId="0" fontId="12" fillId="0" borderId="134" xfId="0" applyFont="1" applyBorder="1" applyAlignment="1">
      <alignment horizontal="center" vertical="center"/>
    </xf>
    <xf numFmtId="0" fontId="6" fillId="15" borderId="109" xfId="0" applyFont="1" applyFill="1" applyBorder="1" applyAlignment="1">
      <alignment horizontal="center" vertical="center"/>
    </xf>
    <xf numFmtId="0" fontId="6" fillId="15" borderId="131" xfId="0" applyFont="1" applyFill="1" applyBorder="1" applyAlignment="1">
      <alignment horizontal="center" vertical="center"/>
    </xf>
    <xf numFmtId="166" fontId="3" fillId="0" borderId="107" xfId="0" applyNumberFormat="1" applyFont="1" applyBorder="1" applyAlignment="1">
      <alignment horizontal="center"/>
    </xf>
    <xf numFmtId="166" fontId="3" fillId="0" borderId="130" xfId="0" applyNumberFormat="1" applyFont="1" applyBorder="1" applyAlignment="1">
      <alignment horizontal="center"/>
    </xf>
    <xf numFmtId="0" fontId="0" fillId="0" borderId="216" xfId="0" applyBorder="1" applyAlignment="1">
      <alignment horizontal="center" vertical="center"/>
    </xf>
    <xf numFmtId="0" fontId="0" fillId="53" borderId="217" xfId="0" applyFill="1" applyBorder="1" applyAlignment="1">
      <alignment horizontal="left" vertical="center"/>
    </xf>
    <xf numFmtId="0" fontId="0" fillId="53" borderId="0" xfId="0" applyFill="1" applyAlignment="1">
      <alignment horizontal="left" vertical="center"/>
    </xf>
    <xf numFmtId="0" fontId="0" fillId="53" borderId="167" xfId="0" applyFill="1" applyBorder="1" applyAlignment="1">
      <alignment horizontal="left" vertical="center"/>
    </xf>
    <xf numFmtId="44" fontId="3" fillId="15" borderId="179" xfId="3" applyFont="1" applyFill="1" applyBorder="1" applyAlignment="1">
      <alignment horizontal="center" vertical="center"/>
    </xf>
    <xf numFmtId="44" fontId="3" fillId="15" borderId="180" xfId="3" applyFont="1" applyFill="1" applyBorder="1" applyAlignment="1">
      <alignment horizontal="center" vertical="center"/>
    </xf>
    <xf numFmtId="44" fontId="3" fillId="15" borderId="200" xfId="3" applyFont="1" applyFill="1" applyBorder="1" applyAlignment="1">
      <alignment horizontal="center" vertical="center"/>
    </xf>
    <xf numFmtId="44" fontId="3" fillId="15" borderId="181" xfId="3" applyFont="1" applyFill="1" applyBorder="1" applyAlignment="1">
      <alignment horizontal="center" vertical="center"/>
    </xf>
    <xf numFmtId="44" fontId="3" fillId="15" borderId="165" xfId="3" applyFont="1" applyFill="1" applyBorder="1" applyAlignment="1">
      <alignment horizontal="center" vertical="center"/>
    </xf>
    <xf numFmtId="44" fontId="3" fillId="15" borderId="201" xfId="3" applyFont="1" applyFill="1" applyBorder="1" applyAlignment="1">
      <alignment horizontal="center" vertical="center"/>
    </xf>
    <xf numFmtId="165" fontId="0" fillId="0" borderId="205" xfId="0" applyNumberFormat="1" applyBorder="1" applyAlignment="1">
      <alignment horizontal="center" vertical="center"/>
    </xf>
    <xf numFmtId="9" fontId="0" fillId="0" borderId="205" xfId="1" applyFont="1" applyBorder="1" applyAlignment="1">
      <alignment horizontal="center" vertical="center"/>
    </xf>
    <xf numFmtId="180" fontId="0" fillId="0" borderId="205" xfId="3" applyNumberFormat="1" applyFont="1" applyBorder="1" applyAlignment="1">
      <alignment horizontal="center" vertical="center"/>
    </xf>
    <xf numFmtId="171" fontId="0" fillId="0" borderId="207" xfId="3" applyNumberFormat="1" applyFont="1" applyBorder="1" applyAlignment="1">
      <alignment horizontal="center" vertical="center"/>
    </xf>
    <xf numFmtId="9" fontId="0" fillId="0" borderId="0" xfId="1" applyFont="1" applyAlignment="1">
      <alignment horizontal="center"/>
    </xf>
    <xf numFmtId="0" fontId="0" fillId="0" borderId="138" xfId="0" applyBorder="1" applyAlignment="1">
      <alignment horizontal="center"/>
    </xf>
    <xf numFmtId="180" fontId="0" fillId="0" borderId="204" xfId="3" applyNumberFormat="1" applyFont="1" applyBorder="1" applyAlignment="1">
      <alignment horizontal="center" vertical="center"/>
    </xf>
    <xf numFmtId="165" fontId="0" fillId="0" borderId="204" xfId="0" applyNumberFormat="1" applyBorder="1" applyAlignment="1">
      <alignment horizontal="center" vertical="center"/>
    </xf>
    <xf numFmtId="180" fontId="0" fillId="20" borderId="258" xfId="3" applyNumberFormat="1" applyFont="1" applyFill="1" applyBorder="1" applyAlignment="1">
      <alignment horizontal="center" vertical="center"/>
    </xf>
    <xf numFmtId="180" fontId="0" fillId="20" borderId="260" xfId="3" applyNumberFormat="1" applyFont="1" applyFill="1" applyBorder="1" applyAlignment="1">
      <alignment horizontal="center" vertical="center"/>
    </xf>
    <xf numFmtId="9" fontId="0" fillId="0" borderId="241" xfId="1" applyFont="1" applyBorder="1" applyAlignment="1">
      <alignment horizontal="center" vertical="center"/>
    </xf>
    <xf numFmtId="0" fontId="44" fillId="15" borderId="108" xfId="0" applyFont="1" applyFill="1" applyBorder="1" applyAlignment="1">
      <alignment horizontal="center" vertical="center" wrapText="1"/>
    </xf>
    <xf numFmtId="0" fontId="44" fillId="15" borderId="87" xfId="0" applyFont="1" applyFill="1" applyBorder="1" applyAlignment="1">
      <alignment horizontal="center" vertical="center" wrapText="1"/>
    </xf>
    <xf numFmtId="0" fontId="44" fillId="15" borderId="113" xfId="0" applyFont="1" applyFill="1" applyBorder="1" applyAlignment="1">
      <alignment horizontal="center" vertical="center" wrapText="1"/>
    </xf>
    <xf numFmtId="0" fontId="23" fillId="39" borderId="0" xfId="0" applyFont="1" applyFill="1" applyAlignment="1">
      <alignment horizontal="center" vertical="center"/>
    </xf>
    <xf numFmtId="0" fontId="18" fillId="32" borderId="0" xfId="0" applyFont="1" applyFill="1" applyAlignment="1">
      <alignment horizontal="center" vertical="center"/>
    </xf>
    <xf numFmtId="171" fontId="8" fillId="0" borderId="0" xfId="0" applyNumberFormat="1" applyFont="1" applyAlignment="1">
      <alignment horizontal="right" vertical="center"/>
    </xf>
    <xf numFmtId="171" fontId="8" fillId="0" borderId="77" xfId="3" applyNumberFormat="1" applyFont="1" applyBorder="1" applyAlignment="1">
      <alignment horizontal="right" vertical="center"/>
    </xf>
    <xf numFmtId="171" fontId="11" fillId="0" borderId="79" xfId="3" applyNumberFormat="1" applyFont="1" applyBorder="1" applyAlignment="1">
      <alignment horizontal="right" vertical="center"/>
    </xf>
    <xf numFmtId="171" fontId="11" fillId="0" borderId="77" xfId="3" applyNumberFormat="1" applyFont="1" applyBorder="1" applyAlignment="1">
      <alignment horizontal="right" vertical="center"/>
    </xf>
    <xf numFmtId="0" fontId="8" fillId="0" borderId="77" xfId="0" applyFont="1" applyBorder="1" applyAlignment="1">
      <alignment horizontal="left" vertical="center"/>
    </xf>
    <xf numFmtId="0" fontId="3" fillId="0" borderId="79" xfId="0" applyFont="1" applyBorder="1" applyAlignment="1">
      <alignment horizontal="left" vertical="center"/>
    </xf>
    <xf numFmtId="0" fontId="3" fillId="0" borderId="0" xfId="0" applyFont="1" applyAlignment="1">
      <alignment horizontal="left" vertical="center"/>
    </xf>
    <xf numFmtId="0" fontId="3" fillId="15" borderId="132" xfId="0" applyFont="1" applyFill="1" applyBorder="1" applyAlignment="1">
      <alignment horizontal="center" vertical="center"/>
    </xf>
    <xf numFmtId="0" fontId="0" fillId="15" borderId="133" xfId="0" applyFill="1" applyBorder="1" applyAlignment="1">
      <alignment horizontal="center" vertical="center"/>
    </xf>
    <xf numFmtId="166" fontId="0" fillId="0" borderId="130" xfId="0" applyNumberFormat="1" applyBorder="1" applyAlignment="1">
      <alignment horizontal="center"/>
    </xf>
    <xf numFmtId="166" fontId="0" fillId="0" borderId="147" xfId="0" applyNumberFormat="1" applyBorder="1" applyAlignment="1">
      <alignment horizontal="center"/>
    </xf>
    <xf numFmtId="0" fontId="0" fillId="15" borderId="242" xfId="0" applyFill="1" applyBorder="1" applyAlignment="1">
      <alignment horizontal="center" vertical="center"/>
    </xf>
    <xf numFmtId="0" fontId="0" fillId="15" borderId="243" xfId="0" applyFill="1" applyBorder="1" applyAlignment="1">
      <alignment horizontal="center" vertical="center"/>
    </xf>
    <xf numFmtId="0" fontId="8" fillId="15" borderId="135" xfId="0" applyFont="1" applyFill="1" applyBorder="1" applyAlignment="1">
      <alignment horizontal="center" vertical="center" wrapText="1"/>
    </xf>
    <xf numFmtId="0" fontId="13" fillId="41" borderId="0" xfId="0" applyFont="1" applyFill="1" applyAlignment="1">
      <alignment horizontal="left"/>
    </xf>
    <xf numFmtId="0" fontId="0" fillId="0" borderId="87" xfId="0" applyBorder="1" applyAlignment="1">
      <alignment horizontal="center" vertical="center"/>
    </xf>
    <xf numFmtId="0" fontId="8" fillId="0" borderId="90" xfId="0" applyFont="1" applyBorder="1" applyAlignment="1">
      <alignment horizontal="left" vertical="center"/>
    </xf>
    <xf numFmtId="0" fontId="8" fillId="0" borderId="92" xfId="0" applyFont="1" applyBorder="1" applyAlignment="1">
      <alignment horizontal="left" vertical="center"/>
    </xf>
    <xf numFmtId="0" fontId="8" fillId="0" borderId="91" xfId="0" applyFont="1" applyBorder="1" applyAlignment="1">
      <alignment horizontal="left" vertical="center"/>
    </xf>
    <xf numFmtId="167" fontId="0" fillId="0" borderId="87" xfId="0" applyNumberFormat="1" applyBorder="1" applyAlignment="1">
      <alignment horizontal="center" vertical="center"/>
    </xf>
    <xf numFmtId="0" fontId="0" fillId="0" borderId="87" xfId="0" applyBorder="1" applyAlignment="1">
      <alignment horizontal="center" vertical="center" wrapText="1"/>
    </xf>
    <xf numFmtId="167" fontId="0" fillId="0" borderId="108" xfId="0" applyNumberFormat="1" applyBorder="1" applyAlignment="1">
      <alignment horizontal="center" vertical="center"/>
    </xf>
    <xf numFmtId="167" fontId="0" fillId="0" borderId="109" xfId="0" applyNumberFormat="1" applyBorder="1" applyAlignment="1">
      <alignment horizontal="center" vertical="center"/>
    </xf>
    <xf numFmtId="167" fontId="0" fillId="0" borderId="111" xfId="0" applyNumberFormat="1" applyBorder="1" applyAlignment="1">
      <alignment horizontal="center" vertical="center"/>
    </xf>
    <xf numFmtId="167" fontId="0" fillId="0" borderId="248" xfId="0" applyNumberFormat="1" applyBorder="1" applyAlignment="1">
      <alignment horizontal="center" vertical="center"/>
    </xf>
    <xf numFmtId="167" fontId="0" fillId="0" borderId="249" xfId="0" applyNumberFormat="1" applyBorder="1" applyAlignment="1">
      <alignment horizontal="center" vertical="center"/>
    </xf>
    <xf numFmtId="0" fontId="9" fillId="0" borderId="115" xfId="0" applyFont="1" applyBorder="1" applyAlignment="1">
      <alignment horizontal="center" vertical="center" wrapText="1"/>
    </xf>
    <xf numFmtId="0" fontId="9" fillId="0" borderId="89" xfId="0" applyFont="1" applyBorder="1" applyAlignment="1">
      <alignment horizontal="center" vertical="center" wrapText="1"/>
    </xf>
    <xf numFmtId="0" fontId="9" fillId="0" borderId="110" xfId="0" applyFont="1" applyBorder="1" applyAlignment="1">
      <alignment horizontal="center" vertical="center" wrapText="1"/>
    </xf>
    <xf numFmtId="0" fontId="9" fillId="0" borderId="87" xfId="0" applyFont="1" applyBorder="1" applyAlignment="1">
      <alignment horizontal="center" vertical="center" wrapText="1"/>
    </xf>
    <xf numFmtId="0" fontId="9" fillId="0" borderId="247" xfId="0" applyFont="1" applyBorder="1" applyAlignment="1">
      <alignment horizontal="center" vertical="center" wrapText="1"/>
    </xf>
    <xf numFmtId="0" fontId="9" fillId="0" borderId="248" xfId="0" applyFont="1" applyBorder="1" applyAlignment="1">
      <alignment horizontal="center" vertical="center" wrapText="1"/>
    </xf>
    <xf numFmtId="167" fontId="0" fillId="0" borderId="89" xfId="0" applyNumberFormat="1" applyBorder="1" applyAlignment="1">
      <alignment horizontal="center" vertical="center"/>
    </xf>
    <xf numFmtId="167" fontId="0" fillId="0" borderId="116" xfId="0" applyNumberFormat="1" applyBorder="1" applyAlignment="1">
      <alignment horizontal="center" vertical="center"/>
    </xf>
    <xf numFmtId="0" fontId="8" fillId="0" borderId="87" xfId="0" applyFont="1" applyBorder="1" applyAlignment="1">
      <alignment horizontal="left" vertical="center"/>
    </xf>
    <xf numFmtId="0" fontId="0" fillId="0" borderId="115" xfId="0" applyBorder="1" applyAlignment="1">
      <alignment horizontal="center" vertical="center" wrapText="1"/>
    </xf>
    <xf numFmtId="0" fontId="0" fillId="0" borderId="89" xfId="0" applyBorder="1" applyAlignment="1">
      <alignment horizontal="center" vertical="center" wrapText="1"/>
    </xf>
    <xf numFmtId="0" fontId="0" fillId="0" borderId="110" xfId="0" applyBorder="1" applyAlignment="1">
      <alignment horizontal="center" vertical="center" wrapText="1"/>
    </xf>
    <xf numFmtId="9" fontId="0" fillId="0" borderId="89" xfId="1" applyFont="1" applyBorder="1" applyAlignment="1">
      <alignment horizontal="center" vertical="center"/>
    </xf>
    <xf numFmtId="9" fontId="0" fillId="0" borderId="116" xfId="1" applyFont="1" applyBorder="1" applyAlignment="1">
      <alignment horizontal="center" vertical="center"/>
    </xf>
    <xf numFmtId="9" fontId="0" fillId="0" borderId="87" xfId="1" applyFont="1" applyBorder="1" applyAlignment="1">
      <alignment horizontal="center" vertical="center"/>
    </xf>
    <xf numFmtId="9" fontId="0" fillId="0" borderId="111" xfId="1" applyFont="1" applyBorder="1" applyAlignment="1">
      <alignment horizontal="center" vertical="center"/>
    </xf>
    <xf numFmtId="9" fontId="0" fillId="0" borderId="87" xfId="0" applyNumberFormat="1" applyBorder="1" applyAlignment="1">
      <alignment horizontal="center" vertical="center"/>
    </xf>
    <xf numFmtId="9" fontId="0" fillId="0" borderId="111" xfId="0" applyNumberFormat="1" applyBorder="1" applyAlignment="1">
      <alignment horizontal="center" vertical="center"/>
    </xf>
    <xf numFmtId="0" fontId="11" fillId="0" borderId="117" xfId="0" applyFont="1" applyBorder="1" applyAlignment="1">
      <alignment horizontal="center" vertical="center"/>
    </xf>
    <xf numFmtId="0" fontId="11" fillId="0" borderId="118" xfId="0" applyFont="1" applyBorder="1" applyAlignment="1">
      <alignment horizontal="center" vertical="center"/>
    </xf>
    <xf numFmtId="0" fontId="11" fillId="0" borderId="145" xfId="0" applyFont="1" applyBorder="1" applyAlignment="1">
      <alignment horizontal="center" vertical="center"/>
    </xf>
    <xf numFmtId="0" fontId="11" fillId="0" borderId="120" xfId="0" applyFont="1" applyBorder="1" applyAlignment="1">
      <alignment horizontal="center" vertical="center"/>
    </xf>
    <xf numFmtId="0" fontId="11" fillId="0" borderId="83" xfId="0" applyFont="1" applyBorder="1" applyAlignment="1">
      <alignment horizontal="center" vertical="center"/>
    </xf>
    <xf numFmtId="0" fontId="11" fillId="0" borderId="122" xfId="0" applyFont="1" applyBorder="1" applyAlignment="1">
      <alignment horizontal="center" vertical="center"/>
    </xf>
    <xf numFmtId="0" fontId="11" fillId="0" borderId="123" xfId="0" applyFont="1" applyBorder="1" applyAlignment="1">
      <alignment horizontal="center" vertical="center"/>
    </xf>
    <xf numFmtId="0" fontId="11" fillId="0" borderId="127" xfId="0" applyFont="1" applyBorder="1" applyAlignment="1">
      <alignment horizontal="center" vertical="center"/>
    </xf>
    <xf numFmtId="172" fontId="11" fillId="0" borderId="79" xfId="0" applyNumberFormat="1" applyFont="1" applyBorder="1" applyAlignment="1">
      <alignment horizontal="right"/>
    </xf>
    <xf numFmtId="172" fontId="11" fillId="0" borderId="77" xfId="0" applyNumberFormat="1" applyFont="1" applyBorder="1" applyAlignment="1">
      <alignment horizontal="right"/>
    </xf>
    <xf numFmtId="0" fontId="0" fillId="0" borderId="107" xfId="0" applyBorder="1" applyAlignment="1">
      <alignment horizontal="center" vertical="center"/>
    </xf>
    <xf numFmtId="0" fontId="0" fillId="0" borderId="110" xfId="0" applyBorder="1" applyAlignment="1">
      <alignment horizontal="center" vertical="center"/>
    </xf>
    <xf numFmtId="0" fontId="0" fillId="0" borderId="247" xfId="0" applyBorder="1" applyAlignment="1">
      <alignment horizontal="center" vertical="center"/>
    </xf>
    <xf numFmtId="0" fontId="0" fillId="0" borderId="248" xfId="0" applyBorder="1" applyAlignment="1">
      <alignment horizontal="center" vertical="center"/>
    </xf>
    <xf numFmtId="0" fontId="41" fillId="0" borderId="0" xfId="0" applyFont="1" applyAlignment="1">
      <alignment horizontal="center" vertical="center"/>
    </xf>
    <xf numFmtId="0" fontId="14" fillId="0" borderId="0" xfId="0" applyFont="1" applyAlignment="1">
      <alignment horizontal="center"/>
    </xf>
    <xf numFmtId="0" fontId="3" fillId="0" borderId="79" xfId="0" applyFont="1" applyBorder="1" applyAlignment="1">
      <alignment horizontal="left"/>
    </xf>
    <xf numFmtId="0" fontId="3" fillId="0" borderId="0" xfId="0" applyFont="1" applyAlignment="1">
      <alignment horizontal="left"/>
    </xf>
    <xf numFmtId="0" fontId="11" fillId="0" borderId="164" xfId="0" applyFont="1" applyBorder="1" applyAlignment="1">
      <alignment vertical="center"/>
    </xf>
    <xf numFmtId="0" fontId="11" fillId="0" borderId="0" xfId="0" applyFont="1" applyAlignment="1">
      <alignment vertical="center"/>
    </xf>
    <xf numFmtId="0" fontId="0" fillId="7" borderId="164" xfId="0" applyFill="1" applyBorder="1" applyAlignment="1">
      <alignment horizontal="center"/>
    </xf>
    <xf numFmtId="0" fontId="0" fillId="7" borderId="0" xfId="0" applyFill="1" applyAlignment="1">
      <alignment horizontal="center"/>
    </xf>
    <xf numFmtId="0" fontId="0" fillId="21" borderId="164" xfId="0" applyFill="1" applyBorder="1" applyAlignment="1">
      <alignment horizontal="center"/>
    </xf>
    <xf numFmtId="0" fontId="0" fillId="21" borderId="0" xfId="0" applyFill="1" applyAlignment="1">
      <alignment horizontal="center"/>
    </xf>
    <xf numFmtId="0" fontId="13" fillId="39" borderId="0" xfId="0" applyFont="1" applyFill="1" applyAlignment="1">
      <alignment horizontal="center"/>
    </xf>
    <xf numFmtId="172" fontId="32" fillId="0" borderId="156" xfId="0" applyNumberFormat="1" applyFont="1" applyBorder="1" applyAlignment="1">
      <alignment horizontal="center"/>
    </xf>
    <xf numFmtId="0" fontId="0" fillId="22" borderId="164" xfId="0" applyFill="1" applyBorder="1" applyAlignment="1">
      <alignment horizontal="center"/>
    </xf>
    <xf numFmtId="0" fontId="0" fillId="22" borderId="0" xfId="0" applyFill="1" applyAlignment="1">
      <alignment horizontal="center"/>
    </xf>
    <xf numFmtId="0" fontId="0" fillId="49" borderId="164" xfId="0" applyFill="1" applyBorder="1" applyAlignment="1">
      <alignment horizontal="center"/>
    </xf>
    <xf numFmtId="0" fontId="0" fillId="49" borderId="0" xfId="0" applyFill="1" applyAlignment="1">
      <alignment horizontal="center"/>
    </xf>
    <xf numFmtId="0" fontId="0" fillId="18" borderId="164" xfId="0" applyFill="1" applyBorder="1" applyAlignment="1">
      <alignment horizontal="center"/>
    </xf>
    <xf numFmtId="0" fontId="0" fillId="18" borderId="163" xfId="0" applyFill="1" applyBorder="1" applyAlignment="1">
      <alignment horizontal="center"/>
    </xf>
    <xf numFmtId="0" fontId="0" fillId="48" borderId="164" xfId="0" applyFill="1" applyBorder="1" applyAlignment="1">
      <alignment horizontal="center"/>
    </xf>
    <xf numFmtId="0" fontId="0" fillId="48" borderId="0" xfId="0" applyFill="1" applyAlignment="1">
      <alignment horizontal="center"/>
    </xf>
    <xf numFmtId="170" fontId="3" fillId="0" borderId="165" xfId="0" applyNumberFormat="1" applyFont="1" applyBorder="1" applyAlignment="1">
      <alignment horizontal="center" vertical="center"/>
    </xf>
    <xf numFmtId="0" fontId="46" fillId="15" borderId="145" xfId="0" applyFont="1" applyFill="1" applyBorder="1" applyAlignment="1">
      <alignment horizontal="center" vertical="center"/>
    </xf>
    <xf numFmtId="0" fontId="46" fillId="15" borderId="83" xfId="0" applyFont="1" applyFill="1" applyBorder="1" applyAlignment="1">
      <alignment horizontal="center" vertical="center"/>
    </xf>
    <xf numFmtId="0" fontId="46" fillId="15" borderId="127" xfId="0" applyFont="1" applyFill="1" applyBorder="1" applyAlignment="1">
      <alignment horizontal="center" vertical="center"/>
    </xf>
    <xf numFmtId="0" fontId="46" fillId="15" borderId="210" xfId="0" applyFont="1" applyFill="1" applyBorder="1" applyAlignment="1">
      <alignment horizontal="center" vertical="center"/>
    </xf>
    <xf numFmtId="0" fontId="46" fillId="15" borderId="211" xfId="0" applyFont="1" applyFill="1" applyBorder="1" applyAlignment="1">
      <alignment horizontal="center" vertical="center"/>
    </xf>
    <xf numFmtId="0" fontId="46" fillId="15" borderId="191" xfId="0" applyFont="1" applyFill="1" applyBorder="1" applyAlignment="1">
      <alignment horizontal="center" vertical="center"/>
    </xf>
    <xf numFmtId="0" fontId="46" fillId="15" borderId="217" xfId="0" applyFont="1" applyFill="1" applyBorder="1" applyAlignment="1">
      <alignment horizontal="center" vertical="center"/>
    </xf>
    <xf numFmtId="0" fontId="46" fillId="15" borderId="0" xfId="0" applyFont="1" applyFill="1" applyAlignment="1">
      <alignment horizontal="center" vertical="center"/>
    </xf>
    <xf numFmtId="0" fontId="46" fillId="15" borderId="192" xfId="0" applyFont="1" applyFill="1" applyBorder="1" applyAlignment="1">
      <alignment horizontal="center" vertical="center"/>
    </xf>
    <xf numFmtId="0" fontId="46" fillId="15" borderId="178" xfId="0" applyFont="1" applyFill="1" applyBorder="1" applyAlignment="1">
      <alignment horizontal="center" vertical="center"/>
    </xf>
    <xf numFmtId="0" fontId="46" fillId="15" borderId="212" xfId="0" applyFont="1" applyFill="1" applyBorder="1" applyAlignment="1">
      <alignment horizontal="center" vertical="center"/>
    </xf>
    <xf numFmtId="0" fontId="46" fillId="15" borderId="188" xfId="0" applyFont="1" applyFill="1" applyBorder="1" applyAlignment="1">
      <alignment horizontal="center" vertical="center"/>
    </xf>
    <xf numFmtId="0" fontId="12" fillId="0" borderId="118" xfId="0" applyFont="1" applyBorder="1" applyAlignment="1">
      <alignment horizontal="center" vertical="center"/>
    </xf>
    <xf numFmtId="0" fontId="12" fillId="0" borderId="123" xfId="0" applyFont="1" applyBorder="1" applyAlignment="1">
      <alignment horizontal="center" vertical="center"/>
    </xf>
    <xf numFmtId="166" fontId="0" fillId="0" borderId="110" xfId="0" applyNumberFormat="1" applyBorder="1" applyAlignment="1">
      <alignment horizontal="center"/>
    </xf>
    <xf numFmtId="166" fontId="0" fillId="0" borderId="112" xfId="0" applyNumberFormat="1" applyBorder="1" applyAlignment="1">
      <alignment horizontal="center"/>
    </xf>
    <xf numFmtId="166" fontId="0" fillId="0" borderId="114" xfId="0" applyNumberFormat="1" applyBorder="1" applyAlignment="1">
      <alignment horizontal="center"/>
    </xf>
    <xf numFmtId="0" fontId="11" fillId="0" borderId="79" xfId="0" applyFont="1" applyBorder="1" applyAlignment="1">
      <alignment horizontal="left" vertical="center"/>
    </xf>
    <xf numFmtId="0" fontId="3" fillId="0" borderId="77" xfId="0" applyFont="1" applyBorder="1" applyAlignment="1">
      <alignment horizontal="left" vertical="center"/>
    </xf>
    <xf numFmtId="0" fontId="12" fillId="0" borderId="107" xfId="0" applyFont="1" applyBorder="1" applyAlignment="1">
      <alignment horizontal="center" vertical="center"/>
    </xf>
    <xf numFmtId="0" fontId="12" fillId="0" borderId="108" xfId="0" applyFont="1" applyBorder="1" applyAlignment="1">
      <alignment horizontal="center" vertical="center"/>
    </xf>
    <xf numFmtId="0" fontId="12" fillId="0" borderId="110" xfId="0" applyFont="1" applyBorder="1" applyAlignment="1">
      <alignment horizontal="center" vertical="center"/>
    </xf>
    <xf numFmtId="0" fontId="12" fillId="0" borderId="87" xfId="0" applyFont="1" applyBorder="1" applyAlignment="1">
      <alignment horizontal="center" vertical="center"/>
    </xf>
    <xf numFmtId="0" fontId="12" fillId="0" borderId="112" xfId="0" applyFont="1" applyBorder="1" applyAlignment="1">
      <alignment horizontal="center" vertical="center"/>
    </xf>
    <xf numFmtId="0" fontId="12" fillId="0" borderId="113" xfId="0" applyFont="1" applyBorder="1" applyAlignment="1">
      <alignment horizontal="center" vertical="center"/>
    </xf>
    <xf numFmtId="0" fontId="3" fillId="0" borderId="189" xfId="0" applyFont="1" applyBorder="1" applyAlignment="1">
      <alignment horizontal="center" vertical="center"/>
    </xf>
    <xf numFmtId="0" fontId="3" fillId="0" borderId="190" xfId="0" applyFont="1" applyBorder="1" applyAlignment="1">
      <alignment horizontal="center" vertical="center"/>
    </xf>
    <xf numFmtId="0" fontId="3" fillId="0" borderId="171" xfId="0" applyFont="1" applyBorder="1" applyAlignment="1">
      <alignment horizontal="center" vertical="center"/>
    </xf>
    <xf numFmtId="0" fontId="3" fillId="0" borderId="167" xfId="0" applyFont="1" applyBorder="1" applyAlignment="1">
      <alignment horizontal="center" vertical="center"/>
    </xf>
    <xf numFmtId="0" fontId="3" fillId="0" borderId="187" xfId="0" applyFont="1" applyBorder="1" applyAlignment="1">
      <alignment horizontal="center" vertical="center"/>
    </xf>
    <xf numFmtId="0" fontId="3" fillId="0" borderId="189" xfId="0" applyFont="1" applyBorder="1" applyAlignment="1">
      <alignment horizontal="center" vertical="center" wrapText="1"/>
    </xf>
    <xf numFmtId="0" fontId="3" fillId="0" borderId="191" xfId="0" applyFont="1" applyBorder="1" applyAlignment="1">
      <alignment horizontal="center" vertical="center"/>
    </xf>
    <xf numFmtId="180" fontId="0" fillId="0" borderId="180" xfId="3" applyNumberFormat="1" applyFont="1" applyFill="1" applyBorder="1" applyAlignment="1">
      <alignment horizontal="center" vertical="center"/>
    </xf>
    <xf numFmtId="180" fontId="0" fillId="0" borderId="165" xfId="3" applyNumberFormat="1" applyFont="1" applyFill="1" applyBorder="1" applyAlignment="1">
      <alignment horizontal="center" vertical="center"/>
    </xf>
    <xf numFmtId="171" fontId="0" fillId="0" borderId="200" xfId="3" applyNumberFormat="1" applyFont="1" applyFill="1" applyBorder="1" applyAlignment="1">
      <alignment horizontal="center" vertical="center"/>
    </xf>
    <xf numFmtId="165" fontId="0" fillId="0" borderId="180" xfId="0" applyNumberFormat="1" applyBorder="1" applyAlignment="1">
      <alignment horizontal="center" vertical="center"/>
    </xf>
    <xf numFmtId="180" fontId="0" fillId="0" borderId="170" xfId="0" applyNumberFormat="1" applyBorder="1" applyAlignment="1">
      <alignment horizontal="center" vertical="center"/>
    </xf>
    <xf numFmtId="180" fontId="0" fillId="0" borderId="173" xfId="0" applyNumberFormat="1" applyBorder="1" applyAlignment="1">
      <alignment horizontal="center" vertical="center"/>
    </xf>
    <xf numFmtId="171" fontId="9" fillId="0" borderId="0" xfId="3" applyNumberFormat="1" applyFont="1" applyAlignment="1">
      <alignment horizontal="center" vertical="center"/>
    </xf>
    <xf numFmtId="171" fontId="9" fillId="0" borderId="77" xfId="3" applyNumberFormat="1" applyFont="1" applyBorder="1" applyAlignment="1">
      <alignment horizontal="center" vertical="center"/>
    </xf>
    <xf numFmtId="0" fontId="9" fillId="0" borderId="0" xfId="0" applyFont="1" applyAlignment="1">
      <alignment horizontal="center" vertical="center"/>
    </xf>
    <xf numFmtId="0" fontId="9" fillId="0" borderId="77" xfId="0" applyFont="1" applyBorder="1" applyAlignment="1">
      <alignment horizontal="center" vertical="center"/>
    </xf>
    <xf numFmtId="0" fontId="16" fillId="32" borderId="0" xfId="0" applyFont="1" applyFill="1" applyAlignment="1">
      <alignment horizontal="center"/>
    </xf>
    <xf numFmtId="0" fontId="17" fillId="32" borderId="0" xfId="0" applyFont="1" applyFill="1" applyAlignment="1">
      <alignment horizontal="center" vertical="center"/>
    </xf>
    <xf numFmtId="0" fontId="3" fillId="15" borderId="195" xfId="0" applyFont="1" applyFill="1" applyBorder="1" applyAlignment="1">
      <alignment horizontal="center"/>
    </xf>
    <xf numFmtId="0" fontId="3" fillId="15" borderId="196" xfId="0" applyFont="1" applyFill="1" applyBorder="1" applyAlignment="1">
      <alignment horizontal="center"/>
    </xf>
    <xf numFmtId="173" fontId="3" fillId="0" borderId="169" xfId="0" applyNumberFormat="1" applyFont="1" applyBorder="1" applyAlignment="1">
      <alignment horizontal="center" vertical="center"/>
    </xf>
    <xf numFmtId="173" fontId="3" fillId="0" borderId="170" xfId="0" applyNumberFormat="1" applyFont="1" applyBorder="1" applyAlignment="1">
      <alignment horizontal="center" vertical="center"/>
    </xf>
    <xf numFmtId="173" fontId="3" fillId="0" borderId="171" xfId="0" applyNumberFormat="1" applyFont="1" applyBorder="1" applyAlignment="1">
      <alignment horizontal="center" vertical="center"/>
    </xf>
    <xf numFmtId="173" fontId="3" fillId="0" borderId="167" xfId="0" applyNumberFormat="1" applyFont="1" applyBorder="1" applyAlignment="1">
      <alignment horizontal="center" vertical="center"/>
    </xf>
    <xf numFmtId="0" fontId="3" fillId="0" borderId="184" xfId="0" applyFont="1" applyBorder="1" applyAlignment="1">
      <alignment horizontal="center" vertical="center"/>
    </xf>
    <xf numFmtId="0" fontId="3" fillId="15" borderId="107" xfId="0" applyFont="1" applyFill="1" applyBorder="1" applyAlignment="1">
      <alignment horizontal="center" vertical="center"/>
    </xf>
    <xf numFmtId="0" fontId="3" fillId="15" borderId="109" xfId="0" applyFont="1" applyFill="1" applyBorder="1" applyAlignment="1">
      <alignment horizontal="center" vertical="center"/>
    </xf>
    <xf numFmtId="0" fontId="3" fillId="15" borderId="112" xfId="0" applyFont="1" applyFill="1" applyBorder="1" applyAlignment="1">
      <alignment horizontal="center" vertical="center"/>
    </xf>
    <xf numFmtId="0" fontId="3" fillId="15" borderId="114" xfId="0" applyFont="1" applyFill="1" applyBorder="1" applyAlignment="1">
      <alignment horizontal="center" vertical="center"/>
    </xf>
    <xf numFmtId="0" fontId="3" fillId="15" borderId="139" xfId="0" applyFont="1" applyFill="1" applyBorder="1" applyAlignment="1">
      <alignment horizontal="center" vertical="center"/>
    </xf>
    <xf numFmtId="0" fontId="3" fillId="15" borderId="140" xfId="0" applyFont="1" applyFill="1" applyBorder="1" applyAlignment="1">
      <alignment horizontal="center" vertical="center"/>
    </xf>
    <xf numFmtId="171" fontId="0" fillId="0" borderId="79" xfId="3" applyNumberFormat="1" applyFont="1" applyBorder="1" applyAlignment="1">
      <alignment horizontal="center" vertical="center"/>
    </xf>
    <xf numFmtId="171" fontId="0" fillId="0" borderId="0" xfId="3" applyNumberFormat="1" applyFont="1" applyAlignment="1">
      <alignment horizontal="center" vertical="center"/>
    </xf>
    <xf numFmtId="171" fontId="0" fillId="0" borderId="77" xfId="3" applyNumberFormat="1" applyFont="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4" xfId="0" applyBorder="1" applyAlignment="1">
      <alignment horizontal="center" vertical="center"/>
    </xf>
    <xf numFmtId="0" fontId="0" fillId="0" borderId="0" xfId="0" applyAlignment="1">
      <alignment horizontal="center" vertical="center"/>
    </xf>
    <xf numFmtId="0" fontId="0" fillId="0" borderId="83" xfId="0" applyBorder="1" applyAlignment="1">
      <alignment horizontal="center" vertical="center"/>
    </xf>
    <xf numFmtId="0" fontId="0" fillId="0" borderId="81" xfId="0" applyBorder="1" applyAlignment="1">
      <alignment horizontal="center" vertical="center"/>
    </xf>
    <xf numFmtId="0" fontId="0" fillId="0" borderId="77" xfId="0" applyBorder="1" applyAlignment="1">
      <alignment horizontal="center" vertical="center"/>
    </xf>
    <xf numFmtId="0" fontId="0" fillId="0" borderId="82" xfId="0" applyBorder="1" applyAlignment="1">
      <alignment horizontal="center" vertical="center"/>
    </xf>
    <xf numFmtId="0" fontId="11" fillId="0" borderId="107" xfId="0" applyFont="1" applyBorder="1" applyAlignment="1">
      <alignment horizontal="center" vertical="center"/>
    </xf>
    <xf numFmtId="0" fontId="11" fillId="0" borderId="108" xfId="0" applyFont="1" applyBorder="1" applyAlignment="1">
      <alignment horizontal="center" vertical="center"/>
    </xf>
    <xf numFmtId="0" fontId="11" fillId="0" borderId="110" xfId="0" applyFont="1" applyBorder="1" applyAlignment="1">
      <alignment horizontal="center" vertical="center"/>
    </xf>
    <xf numFmtId="0" fontId="11" fillId="0" borderId="87" xfId="0" applyFont="1" applyBorder="1" applyAlignment="1">
      <alignment horizontal="center" vertical="center"/>
    </xf>
    <xf numFmtId="0" fontId="11" fillId="0" borderId="112" xfId="0" applyFont="1" applyBorder="1" applyAlignment="1">
      <alignment horizontal="center" vertical="center"/>
    </xf>
    <xf numFmtId="0" fontId="11" fillId="0" borderId="113" xfId="0" applyFont="1" applyBorder="1" applyAlignment="1">
      <alignment horizontal="center" vertical="center"/>
    </xf>
    <xf numFmtId="167" fontId="12" fillId="0" borderId="108" xfId="0" applyNumberFormat="1" applyFont="1" applyBorder="1" applyAlignment="1">
      <alignment horizontal="center" vertical="center"/>
    </xf>
    <xf numFmtId="167" fontId="12" fillId="0" borderId="109" xfId="0" applyNumberFormat="1" applyFont="1" applyBorder="1" applyAlignment="1">
      <alignment horizontal="center" vertical="center"/>
    </xf>
    <xf numFmtId="167" fontId="12" fillId="0" borderId="87" xfId="0" applyNumberFormat="1" applyFont="1" applyBorder="1" applyAlignment="1">
      <alignment horizontal="center" vertical="center"/>
    </xf>
    <xf numFmtId="167" fontId="12" fillId="0" borderId="111" xfId="0" applyNumberFormat="1" applyFont="1" applyBorder="1" applyAlignment="1">
      <alignment horizontal="center" vertical="center"/>
    </xf>
    <xf numFmtId="167" fontId="12" fillId="0" borderId="113" xfId="0" applyNumberFormat="1" applyFont="1" applyBorder="1" applyAlignment="1">
      <alignment horizontal="center" vertical="center"/>
    </xf>
    <xf numFmtId="167" fontId="12" fillId="0" borderId="114" xfId="0" applyNumberFormat="1" applyFont="1" applyBorder="1" applyAlignment="1">
      <alignment horizontal="center" vertical="center"/>
    </xf>
    <xf numFmtId="0" fontId="0" fillId="0" borderId="112" xfId="0" applyBorder="1" applyAlignment="1">
      <alignment horizontal="center" vertical="center"/>
    </xf>
    <xf numFmtId="9" fontId="0" fillId="0" borderId="113" xfId="1" applyFont="1" applyBorder="1" applyAlignment="1">
      <alignment horizontal="center" vertical="center"/>
    </xf>
    <xf numFmtId="9" fontId="0" fillId="0" borderId="114" xfId="1" applyFont="1" applyBorder="1" applyAlignment="1">
      <alignment horizontal="center" vertical="center"/>
    </xf>
    <xf numFmtId="0" fontId="8" fillId="0" borderId="87" xfId="0" applyFont="1" applyBorder="1" applyAlignment="1">
      <alignment vertical="center"/>
    </xf>
    <xf numFmtId="0" fontId="12" fillId="0" borderId="79" xfId="0" applyFont="1" applyBorder="1" applyAlignment="1">
      <alignment horizontal="center"/>
    </xf>
    <xf numFmtId="0" fontId="12" fillId="0" borderId="0" xfId="0" applyFont="1" applyAlignment="1">
      <alignment horizontal="center"/>
    </xf>
    <xf numFmtId="0" fontId="0" fillId="0" borderId="219" xfId="0" applyBorder="1" applyAlignment="1">
      <alignment horizontal="center" vertical="center"/>
    </xf>
    <xf numFmtId="0" fontId="0" fillId="0" borderId="222" xfId="0" applyBorder="1" applyAlignment="1">
      <alignment horizontal="center" vertical="center"/>
    </xf>
    <xf numFmtId="0" fontId="0" fillId="20" borderId="205" xfId="0" applyFill="1" applyBorder="1" applyAlignment="1">
      <alignment horizontal="center" vertical="center"/>
    </xf>
    <xf numFmtId="0" fontId="0" fillId="20" borderId="204" xfId="0" applyFill="1" applyBorder="1" applyAlignment="1">
      <alignment horizontal="center" vertical="center"/>
    </xf>
    <xf numFmtId="165" fontId="0" fillId="0" borderId="220" xfId="0" applyNumberFormat="1" applyBorder="1" applyAlignment="1">
      <alignment horizontal="center" vertical="center"/>
    </xf>
    <xf numFmtId="165" fontId="0" fillId="0" borderId="223" xfId="0" applyNumberFormat="1" applyBorder="1" applyAlignment="1">
      <alignment horizontal="center" vertical="center"/>
    </xf>
    <xf numFmtId="171" fontId="2" fillId="0" borderId="220" xfId="3" applyNumberFormat="1" applyFont="1" applyBorder="1" applyAlignment="1">
      <alignment horizontal="center" vertical="center"/>
    </xf>
    <xf numFmtId="171" fontId="2" fillId="0" borderId="223" xfId="3" applyNumberFormat="1" applyFont="1" applyBorder="1" applyAlignment="1">
      <alignment horizontal="center" vertical="center"/>
    </xf>
    <xf numFmtId="171" fontId="2" fillId="0" borderId="221" xfId="3" applyNumberFormat="1" applyFont="1" applyBorder="1" applyAlignment="1">
      <alignment horizontal="center" vertical="center"/>
    </xf>
    <xf numFmtId="171" fontId="2" fillId="0" borderId="224" xfId="3" applyNumberFormat="1" applyFont="1" applyBorder="1" applyAlignment="1">
      <alignment horizontal="center" vertical="center"/>
    </xf>
    <xf numFmtId="0" fontId="3" fillId="20" borderId="171" xfId="0" applyFont="1" applyFill="1" applyBorder="1" applyAlignment="1">
      <alignment horizontal="center" vertical="center"/>
    </xf>
    <xf numFmtId="0" fontId="3" fillId="20" borderId="167" xfId="0" applyFont="1" applyFill="1" applyBorder="1" applyAlignment="1">
      <alignment horizontal="center" vertical="center"/>
    </xf>
    <xf numFmtId="0" fontId="3" fillId="20" borderId="186" xfId="0" applyFont="1" applyFill="1" applyBorder="1" applyAlignment="1">
      <alignment horizontal="center" vertical="center"/>
    </xf>
    <xf numFmtId="0" fontId="3" fillId="20" borderId="187" xfId="0" applyFont="1" applyFill="1" applyBorder="1" applyAlignment="1">
      <alignment horizontal="center" vertical="center"/>
    </xf>
    <xf numFmtId="180" fontId="0" fillId="0" borderId="189" xfId="3" applyNumberFormat="1" applyFont="1" applyBorder="1" applyAlignment="1">
      <alignment horizontal="center" vertical="center"/>
    </xf>
    <xf numFmtId="180" fontId="0" fillId="0" borderId="190" xfId="3" applyNumberFormat="1" applyFont="1" applyBorder="1" applyAlignment="1">
      <alignment horizontal="center" vertical="center"/>
    </xf>
    <xf numFmtId="181" fontId="0" fillId="0" borderId="169" xfId="0" applyNumberFormat="1" applyBorder="1" applyAlignment="1">
      <alignment horizontal="center" vertical="center"/>
    </xf>
    <xf numFmtId="0" fontId="12" fillId="0" borderId="77" xfId="0" applyFont="1" applyBorder="1" applyAlignment="1">
      <alignment horizontal="center" vertical="center"/>
    </xf>
    <xf numFmtId="0" fontId="0" fillId="0" borderId="87" xfId="3" applyNumberFormat="1" applyFont="1" applyBorder="1" applyAlignment="1">
      <alignment horizontal="center" vertical="center"/>
    </xf>
    <xf numFmtId="0" fontId="11" fillId="0" borderId="77" xfId="0" applyFont="1" applyBorder="1" applyAlignment="1">
      <alignment horizontal="left" vertical="center"/>
    </xf>
    <xf numFmtId="1" fontId="0" fillId="0" borderId="148" xfId="0" applyNumberFormat="1" applyBorder="1" applyAlignment="1">
      <alignment horizontal="center" vertical="center"/>
    </xf>
    <xf numFmtId="180" fontId="3" fillId="0" borderId="186" xfId="0" applyNumberFormat="1" applyFont="1" applyBorder="1" applyAlignment="1">
      <alignment horizontal="center" vertical="center"/>
    </xf>
    <xf numFmtId="180" fontId="3" fillId="0" borderId="187" xfId="0" applyNumberFormat="1" applyFont="1" applyBorder="1" applyAlignment="1">
      <alignment horizontal="center" vertical="center"/>
    </xf>
    <xf numFmtId="180" fontId="3" fillId="0" borderId="188" xfId="0" applyNumberFormat="1" applyFont="1" applyBorder="1" applyAlignment="1">
      <alignment horizontal="center" vertical="center"/>
    </xf>
    <xf numFmtId="180" fontId="0" fillId="0" borderId="189" xfId="0" applyNumberFormat="1" applyBorder="1" applyAlignment="1">
      <alignment horizontal="center" vertical="center"/>
    </xf>
    <xf numFmtId="180" fontId="0" fillId="0" borderId="190" xfId="0" applyNumberFormat="1" applyBorder="1" applyAlignment="1">
      <alignment horizontal="center" vertical="center"/>
    </xf>
    <xf numFmtId="180" fontId="0" fillId="0" borderId="191" xfId="0" applyNumberFormat="1" applyBorder="1" applyAlignment="1">
      <alignment horizontal="center" vertical="center"/>
    </xf>
    <xf numFmtId="0" fontId="3" fillId="0" borderId="203" xfId="0" applyFont="1" applyBorder="1" applyAlignment="1">
      <alignment horizontal="center" vertical="center"/>
    </xf>
    <xf numFmtId="0" fontId="3" fillId="0" borderId="174" xfId="0" applyFont="1" applyBorder="1" applyAlignment="1">
      <alignment horizontal="center" vertical="center"/>
    </xf>
    <xf numFmtId="173" fontId="3" fillId="0" borderId="186" xfId="0" applyNumberFormat="1" applyFont="1" applyBorder="1" applyAlignment="1">
      <alignment horizontal="center" vertical="center"/>
    </xf>
    <xf numFmtId="173" fontId="3" fillId="0" borderId="187" xfId="0" applyNumberFormat="1" applyFont="1" applyBorder="1" applyAlignment="1">
      <alignment horizontal="center" vertical="center"/>
    </xf>
    <xf numFmtId="0" fontId="3" fillId="43" borderId="181" xfId="0" applyFont="1" applyFill="1" applyBorder="1" applyAlignment="1">
      <alignment horizontal="center" vertical="center"/>
    </xf>
    <xf numFmtId="0" fontId="3" fillId="43" borderId="165" xfId="0" applyFont="1" applyFill="1" applyBorder="1" applyAlignment="1">
      <alignment horizontal="center" vertical="center"/>
    </xf>
    <xf numFmtId="0" fontId="3" fillId="43" borderId="201" xfId="0" applyFont="1" applyFill="1" applyBorder="1" applyAlignment="1">
      <alignment horizontal="center" vertical="center"/>
    </xf>
    <xf numFmtId="0" fontId="3" fillId="53" borderId="181" xfId="0" applyFont="1" applyFill="1" applyBorder="1" applyAlignment="1">
      <alignment horizontal="center" vertical="center"/>
    </xf>
    <xf numFmtId="0" fontId="3" fillId="53" borderId="165" xfId="0" applyFont="1" applyFill="1" applyBorder="1" applyAlignment="1">
      <alignment horizontal="center" vertical="center"/>
    </xf>
    <xf numFmtId="0" fontId="3" fillId="53" borderId="201" xfId="0" applyFont="1" applyFill="1" applyBorder="1" applyAlignment="1">
      <alignment horizontal="center" vertical="center"/>
    </xf>
    <xf numFmtId="0" fontId="3" fillId="54" borderId="181" xfId="0" applyFont="1" applyFill="1" applyBorder="1" applyAlignment="1">
      <alignment horizontal="center" vertical="center"/>
    </xf>
    <xf numFmtId="0" fontId="3" fillId="54" borderId="165" xfId="0" applyFont="1" applyFill="1" applyBorder="1" applyAlignment="1">
      <alignment horizontal="center" vertical="center"/>
    </xf>
    <xf numFmtId="0" fontId="3" fillId="54" borderId="201" xfId="0" applyFont="1" applyFill="1" applyBorder="1" applyAlignment="1">
      <alignment horizontal="center" vertical="center"/>
    </xf>
    <xf numFmtId="9" fontId="0" fillId="0" borderId="235" xfId="1" applyFont="1" applyBorder="1" applyAlignment="1">
      <alignment horizontal="center"/>
    </xf>
    <xf numFmtId="9" fontId="0" fillId="0" borderId="232" xfId="1" applyFont="1" applyBorder="1" applyAlignment="1">
      <alignment horizontal="center"/>
    </xf>
    <xf numFmtId="0" fontId="0" fillId="0" borderId="151" xfId="0" applyBorder="1" applyAlignment="1">
      <alignment horizontal="center" vertical="center"/>
    </xf>
    <xf numFmtId="0" fontId="3" fillId="11" borderId="210" xfId="0" applyFont="1" applyFill="1" applyBorder="1" applyAlignment="1">
      <alignment horizontal="center" vertical="center"/>
    </xf>
    <xf numFmtId="0" fontId="3" fillId="11" borderId="211" xfId="0" applyFont="1" applyFill="1" applyBorder="1" applyAlignment="1">
      <alignment horizontal="center" vertical="center"/>
    </xf>
    <xf numFmtId="0" fontId="3" fillId="11" borderId="191" xfId="0" applyFont="1" applyFill="1" applyBorder="1" applyAlignment="1">
      <alignment horizontal="center" vertical="center"/>
    </xf>
    <xf numFmtId="0" fontId="3" fillId="11" borderId="178" xfId="0" applyFont="1" applyFill="1" applyBorder="1" applyAlignment="1">
      <alignment horizontal="center" vertical="center"/>
    </xf>
    <xf numFmtId="0" fontId="3" fillId="11" borderId="212" xfId="0" applyFont="1" applyFill="1" applyBorder="1" applyAlignment="1">
      <alignment horizontal="center" vertical="center"/>
    </xf>
    <xf numFmtId="0" fontId="3" fillId="11" borderId="188" xfId="0" applyFont="1" applyFill="1" applyBorder="1" applyAlignment="1">
      <alignment horizontal="center" vertical="center"/>
    </xf>
    <xf numFmtId="165" fontId="3" fillId="0" borderId="149" xfId="0" applyNumberFormat="1" applyFont="1" applyBorder="1" applyAlignment="1">
      <alignment horizontal="center" vertical="center"/>
    </xf>
    <xf numFmtId="165" fontId="3" fillId="0" borderId="151" xfId="0" applyNumberFormat="1" applyFont="1" applyBorder="1" applyAlignment="1">
      <alignment horizontal="center" vertical="center"/>
    </xf>
    <xf numFmtId="171" fontId="3" fillId="0" borderId="149" xfId="3" applyNumberFormat="1" applyFont="1" applyBorder="1" applyAlignment="1">
      <alignment horizontal="center" vertical="center"/>
    </xf>
    <xf numFmtId="171" fontId="3" fillId="0" borderId="151" xfId="3" applyNumberFormat="1" applyFont="1" applyBorder="1" applyAlignment="1">
      <alignment horizontal="center" vertical="center"/>
    </xf>
    <xf numFmtId="0" fontId="0" fillId="0" borderId="215" xfId="0" applyBorder="1" applyAlignment="1">
      <alignment horizontal="center" vertical="center"/>
    </xf>
    <xf numFmtId="1" fontId="3" fillId="0" borderId="145" xfId="0" applyNumberFormat="1" applyFont="1" applyBorder="1" applyAlignment="1">
      <alignment horizontal="center" vertical="center"/>
    </xf>
    <xf numFmtId="0" fontId="3" fillId="0" borderId="127" xfId="0" applyFont="1" applyBorder="1" applyAlignment="1">
      <alignment horizontal="center" vertical="center"/>
    </xf>
    <xf numFmtId="171" fontId="8" fillId="0" borderId="77" xfId="0" applyNumberFormat="1" applyFont="1" applyBorder="1" applyAlignment="1">
      <alignment horizontal="right" vertical="center"/>
    </xf>
    <xf numFmtId="0" fontId="0" fillId="0" borderId="0" xfId="0" applyAlignment="1">
      <alignment horizontal="left" vertical="center"/>
    </xf>
    <xf numFmtId="167" fontId="11" fillId="0" borderId="164" xfId="0" applyNumberFormat="1" applyFont="1" applyBorder="1" applyAlignment="1">
      <alignment horizontal="left" vertical="center"/>
    </xf>
    <xf numFmtId="167" fontId="11" fillId="0" borderId="163" xfId="0" applyNumberFormat="1" applyFont="1" applyBorder="1" applyAlignment="1">
      <alignment horizontal="left" vertical="center"/>
    </xf>
    <xf numFmtId="0" fontId="0" fillId="24" borderId="0" xfId="0" applyFill="1" applyAlignment="1">
      <alignment horizontal="center" vertical="center"/>
    </xf>
    <xf numFmtId="0" fontId="0" fillId="24" borderId="77" xfId="0" applyFill="1" applyBorder="1" applyAlignment="1">
      <alignment horizontal="center" vertical="center"/>
    </xf>
    <xf numFmtId="167" fontId="11" fillId="0" borderId="230" xfId="0" applyNumberFormat="1" applyFont="1" applyBorder="1" applyAlignment="1">
      <alignment horizontal="center" vertical="center"/>
    </xf>
    <xf numFmtId="167" fontId="11" fillId="0" borderId="118" xfId="0" applyNumberFormat="1" applyFont="1" applyBorder="1" applyAlignment="1">
      <alignment horizontal="center" vertical="center"/>
    </xf>
    <xf numFmtId="167" fontId="11" fillId="0" borderId="119" xfId="0" applyNumberFormat="1" applyFont="1" applyBorder="1" applyAlignment="1">
      <alignment horizontal="center" vertical="center"/>
    </xf>
    <xf numFmtId="167" fontId="11" fillId="0" borderId="84" xfId="0" applyNumberFormat="1" applyFont="1" applyBorder="1" applyAlignment="1">
      <alignment horizontal="center" vertical="center"/>
    </xf>
    <xf numFmtId="167" fontId="11" fillId="0" borderId="0" xfId="0" applyNumberFormat="1" applyFont="1" applyAlignment="1">
      <alignment horizontal="center" vertical="center"/>
    </xf>
    <xf numFmtId="167" fontId="11" fillId="0" borderId="121" xfId="0" applyNumberFormat="1" applyFont="1" applyBorder="1" applyAlignment="1">
      <alignment horizontal="center" vertical="center"/>
    </xf>
    <xf numFmtId="167" fontId="11" fillId="0" borderId="126" xfId="0" applyNumberFormat="1" applyFont="1" applyBorder="1" applyAlignment="1">
      <alignment horizontal="center" vertical="center"/>
    </xf>
    <xf numFmtId="167" fontId="11" fillId="0" borderId="123" xfId="0" applyNumberFormat="1" applyFont="1" applyBorder="1" applyAlignment="1">
      <alignment horizontal="center" vertical="center"/>
    </xf>
    <xf numFmtId="167" fontId="11" fillId="0" borderId="124" xfId="0" applyNumberFormat="1" applyFont="1" applyBorder="1" applyAlignment="1">
      <alignment horizontal="center" vertical="center"/>
    </xf>
    <xf numFmtId="173" fontId="0" fillId="0" borderId="171" xfId="0" applyNumberFormat="1" applyBorder="1" applyAlignment="1">
      <alignment horizontal="center" vertical="center"/>
    </xf>
    <xf numFmtId="173" fontId="0" fillId="0" borderId="167" xfId="0" applyNumberFormat="1" applyBorder="1" applyAlignment="1">
      <alignment horizontal="center" vertical="center"/>
    </xf>
    <xf numFmtId="180" fontId="0" fillId="0" borderId="171" xfId="0" applyNumberFormat="1" applyBorder="1" applyAlignment="1">
      <alignment horizontal="center" vertical="center"/>
    </xf>
    <xf numFmtId="180" fontId="0" fillId="0" borderId="167" xfId="0" applyNumberFormat="1" applyBorder="1" applyAlignment="1">
      <alignment horizontal="center" vertical="center"/>
    </xf>
    <xf numFmtId="180" fontId="0" fillId="0" borderId="192" xfId="0" applyNumberFormat="1" applyBorder="1" applyAlignment="1">
      <alignment horizontal="center" vertical="center"/>
    </xf>
    <xf numFmtId="0" fontId="3" fillId="0" borderId="179" xfId="0" applyFont="1" applyBorder="1" applyAlignment="1">
      <alignment horizontal="center" vertical="center" wrapText="1"/>
    </xf>
    <xf numFmtId="0" fontId="3" fillId="0" borderId="180" xfId="0" applyFont="1" applyBorder="1" applyAlignment="1">
      <alignment horizontal="center" vertical="center" wrapText="1"/>
    </xf>
    <xf numFmtId="0" fontId="3" fillId="0" borderId="181" xfId="0" applyFont="1" applyBorder="1" applyAlignment="1">
      <alignment horizontal="center" vertical="center" wrapText="1"/>
    </xf>
    <xf numFmtId="0" fontId="3" fillId="0" borderId="165" xfId="0" applyFont="1" applyBorder="1" applyAlignment="1">
      <alignment horizontal="center" vertical="center" wrapText="1"/>
    </xf>
    <xf numFmtId="0" fontId="3" fillId="0" borderId="184" xfId="0" applyFont="1" applyBorder="1" applyAlignment="1">
      <alignment horizontal="center" vertical="center" wrapText="1"/>
    </xf>
    <xf numFmtId="0" fontId="3" fillId="0" borderId="185" xfId="0" applyFont="1" applyBorder="1" applyAlignment="1">
      <alignment horizontal="center" vertical="center" wrapText="1"/>
    </xf>
    <xf numFmtId="0" fontId="44" fillId="15" borderId="109" xfId="0" applyFont="1" applyFill="1" applyBorder="1" applyAlignment="1">
      <alignment horizontal="center" vertical="center" wrapText="1"/>
    </xf>
    <xf numFmtId="0" fontId="44" fillId="15" borderId="111" xfId="0" applyFont="1" applyFill="1" applyBorder="1" applyAlignment="1">
      <alignment horizontal="center" vertical="center" wrapText="1"/>
    </xf>
    <xf numFmtId="0" fontId="44" fillId="15" borderId="114" xfId="0" applyFont="1" applyFill="1" applyBorder="1" applyAlignment="1">
      <alignment horizontal="center" vertical="center" wrapText="1"/>
    </xf>
    <xf numFmtId="0" fontId="3" fillId="0" borderId="225" xfId="0" applyFont="1" applyBorder="1" applyAlignment="1">
      <alignment horizontal="center" vertical="center"/>
    </xf>
    <xf numFmtId="0" fontId="3" fillId="0" borderId="228" xfId="0" applyFont="1" applyBorder="1" applyAlignment="1">
      <alignment horizontal="center" vertical="center"/>
    </xf>
    <xf numFmtId="0" fontId="3" fillId="21" borderId="181" xfId="0" applyFont="1" applyFill="1" applyBorder="1" applyAlignment="1">
      <alignment horizontal="center" vertical="center"/>
    </xf>
    <xf numFmtId="0" fontId="3" fillId="21" borderId="165" xfId="0" applyFont="1" applyFill="1" applyBorder="1" applyAlignment="1">
      <alignment horizontal="center" vertical="center"/>
    </xf>
    <xf numFmtId="0" fontId="3" fillId="21" borderId="201" xfId="0" applyFont="1" applyFill="1" applyBorder="1" applyAlignment="1">
      <alignment horizontal="center" vertical="center"/>
    </xf>
    <xf numFmtId="0" fontId="0" fillId="15" borderId="135" xfId="0" applyFill="1" applyBorder="1" applyAlignment="1">
      <alignment horizontal="center" vertical="center"/>
    </xf>
    <xf numFmtId="0" fontId="0" fillId="15" borderId="137" xfId="0" applyFill="1" applyBorder="1" applyAlignment="1">
      <alignment horizontal="center" vertical="center"/>
    </xf>
    <xf numFmtId="0" fontId="13" fillId="39" borderId="0" xfId="0" applyFont="1" applyFill="1" applyAlignment="1">
      <alignment horizontal="left" vertical="center"/>
    </xf>
    <xf numFmtId="180" fontId="0" fillId="20" borderId="261" xfId="3" applyNumberFormat="1" applyFont="1" applyFill="1" applyBorder="1" applyAlignment="1">
      <alignment horizontal="center" vertical="center"/>
    </xf>
    <xf numFmtId="180" fontId="0" fillId="20" borderId="267" xfId="3" applyNumberFormat="1" applyFont="1" applyFill="1" applyBorder="1" applyAlignment="1">
      <alignment horizontal="center" vertical="center"/>
    </xf>
    <xf numFmtId="180" fontId="0" fillId="20" borderId="194" xfId="3" applyNumberFormat="1" applyFont="1" applyFill="1" applyBorder="1" applyAlignment="1">
      <alignment horizontal="center" vertical="center"/>
    </xf>
    <xf numFmtId="180" fontId="0" fillId="20" borderId="266" xfId="3" applyNumberFormat="1" applyFont="1" applyFill="1" applyBorder="1" applyAlignment="1">
      <alignment horizontal="center" vertical="center"/>
    </xf>
    <xf numFmtId="0" fontId="3" fillId="6" borderId="179" xfId="0" applyFont="1" applyFill="1" applyBorder="1" applyAlignment="1">
      <alignment horizontal="center" vertical="center"/>
    </xf>
    <xf numFmtId="0" fontId="3" fillId="6" borderId="180" xfId="0" applyFont="1" applyFill="1" applyBorder="1" applyAlignment="1">
      <alignment horizontal="center" vertical="center"/>
    </xf>
    <xf numFmtId="0" fontId="3" fillId="6" borderId="200" xfId="0" applyFont="1" applyFill="1" applyBorder="1" applyAlignment="1">
      <alignment horizontal="center" vertical="center"/>
    </xf>
    <xf numFmtId="0" fontId="3" fillId="6" borderId="181" xfId="0" applyFont="1" applyFill="1" applyBorder="1" applyAlignment="1">
      <alignment horizontal="center" vertical="center"/>
    </xf>
    <xf numFmtId="0" fontId="3" fillId="6" borderId="165" xfId="0" applyFont="1" applyFill="1" applyBorder="1" applyAlignment="1">
      <alignment horizontal="center" vertical="center"/>
    </xf>
    <xf numFmtId="0" fontId="3" fillId="6" borderId="201" xfId="0" applyFont="1" applyFill="1" applyBorder="1" applyAlignment="1">
      <alignment horizontal="center" vertical="center"/>
    </xf>
    <xf numFmtId="0" fontId="0" fillId="0" borderId="170" xfId="0" applyBorder="1" applyAlignment="1">
      <alignment horizontal="center" vertical="center"/>
    </xf>
    <xf numFmtId="0" fontId="0" fillId="0" borderId="265" xfId="0" applyBorder="1" applyAlignment="1">
      <alignment horizontal="center" vertical="center"/>
    </xf>
    <xf numFmtId="9" fontId="0" fillId="0" borderId="266" xfId="1" applyFont="1" applyBorder="1" applyAlignment="1">
      <alignment horizontal="center" vertical="center"/>
    </xf>
    <xf numFmtId="9" fontId="0" fillId="0" borderId="180" xfId="1" applyFont="1" applyBorder="1" applyAlignment="1">
      <alignment horizontal="center" vertical="center"/>
    </xf>
    <xf numFmtId="0" fontId="44" fillId="15" borderId="128" xfId="0" applyFont="1" applyFill="1" applyBorder="1" applyAlignment="1">
      <alignment horizontal="center" vertical="center" wrapText="1"/>
    </xf>
    <xf numFmtId="0" fontId="44" fillId="15" borderId="90" xfId="0" applyFont="1" applyFill="1" applyBorder="1" applyAlignment="1">
      <alignment horizontal="center" vertical="center" wrapText="1"/>
    </xf>
    <xf numFmtId="0" fontId="44" fillId="15" borderId="129" xfId="0" applyFont="1" applyFill="1" applyBorder="1" applyAlignment="1">
      <alignment horizontal="center" vertical="center" wrapText="1"/>
    </xf>
    <xf numFmtId="0" fontId="3" fillId="0" borderId="128" xfId="0" applyFont="1" applyBorder="1" applyAlignment="1">
      <alignment horizontal="center" vertical="center"/>
    </xf>
    <xf numFmtId="0" fontId="3" fillId="0" borderId="129" xfId="0" applyFont="1" applyBorder="1" applyAlignment="1">
      <alignment horizontal="center" vertical="center"/>
    </xf>
    <xf numFmtId="0" fontId="44" fillId="15" borderId="146" xfId="0" applyFont="1" applyFill="1" applyBorder="1" applyAlignment="1">
      <alignment horizontal="center" vertical="center" wrapText="1"/>
    </xf>
    <xf numFmtId="0" fontId="44" fillId="15" borderId="147" xfId="0" applyFont="1" applyFill="1" applyBorder="1" applyAlignment="1">
      <alignment horizontal="center" vertical="center" wrapText="1"/>
    </xf>
    <xf numFmtId="0" fontId="44" fillId="15" borderId="148" xfId="0" applyFont="1" applyFill="1" applyBorder="1" applyAlignment="1">
      <alignment horizontal="center" vertical="center" wrapText="1"/>
    </xf>
    <xf numFmtId="171" fontId="0" fillId="0" borderId="214" xfId="0" applyNumberFormat="1" applyBorder="1" applyAlignment="1">
      <alignment horizontal="center"/>
    </xf>
    <xf numFmtId="0" fontId="0" fillId="0" borderId="214" xfId="0" applyBorder="1" applyAlignment="1">
      <alignment horizontal="center"/>
    </xf>
    <xf numFmtId="172" fontId="0" fillId="0" borderId="165" xfId="0" applyNumberFormat="1" applyBorder="1" applyAlignment="1">
      <alignment horizontal="center" vertical="center"/>
    </xf>
    <xf numFmtId="171" fontId="0" fillId="0" borderId="165" xfId="0" applyNumberFormat="1" applyBorder="1" applyAlignment="1">
      <alignment horizontal="center" vertical="center"/>
    </xf>
    <xf numFmtId="9" fontId="11" fillId="0" borderId="220" xfId="1" applyFont="1" applyBorder="1" applyAlignment="1">
      <alignment horizontal="center"/>
    </xf>
    <xf numFmtId="9" fontId="11" fillId="0" borderId="223" xfId="1" applyFont="1" applyBorder="1" applyAlignment="1">
      <alignment horizontal="center"/>
    </xf>
    <xf numFmtId="9" fontId="0" fillId="0" borderId="238" xfId="1" applyFont="1" applyBorder="1" applyAlignment="1">
      <alignment horizontal="center"/>
    </xf>
    <xf numFmtId="9" fontId="0" fillId="0" borderId="239" xfId="1" applyFont="1" applyBorder="1" applyAlignment="1">
      <alignment horizontal="center"/>
    </xf>
    <xf numFmtId="9" fontId="0" fillId="0" borderId="147" xfId="1" applyFont="1" applyBorder="1" applyAlignment="1">
      <alignment horizontal="center"/>
    </xf>
    <xf numFmtId="9" fontId="11" fillId="0" borderId="236" xfId="1" applyFont="1" applyBorder="1" applyAlignment="1">
      <alignment horizontal="center"/>
    </xf>
    <xf numFmtId="9" fontId="0" fillId="0" borderId="146" xfId="1" applyFont="1" applyBorder="1" applyAlignment="1">
      <alignment horizontal="center"/>
    </xf>
    <xf numFmtId="170" fontId="0" fillId="0" borderId="214" xfId="0" applyNumberFormat="1" applyBorder="1" applyAlignment="1">
      <alignment horizontal="center"/>
    </xf>
    <xf numFmtId="9" fontId="0" fillId="0" borderId="165" xfId="0" applyNumberFormat="1" applyBorder="1" applyAlignment="1">
      <alignment horizontal="center" vertical="center"/>
    </xf>
    <xf numFmtId="9" fontId="11" fillId="0" borderId="237" xfId="1" applyFont="1" applyFill="1" applyBorder="1" applyAlignment="1">
      <alignment horizontal="center"/>
    </xf>
    <xf numFmtId="1" fontId="3" fillId="0" borderId="149" xfId="0" applyNumberFormat="1" applyFont="1" applyBorder="1" applyAlignment="1">
      <alignment horizontal="center" vertical="center"/>
    </xf>
    <xf numFmtId="9" fontId="0" fillId="0" borderId="214" xfId="0" applyNumberFormat="1" applyBorder="1" applyAlignment="1">
      <alignment horizontal="center"/>
    </xf>
    <xf numFmtId="173" fontId="0" fillId="0" borderId="165" xfId="0" applyNumberFormat="1" applyBorder="1" applyAlignment="1">
      <alignment horizontal="center" vertical="center"/>
    </xf>
    <xf numFmtId="170" fontId="0" fillId="0" borderId="165" xfId="0" applyNumberFormat="1" applyBorder="1" applyAlignment="1">
      <alignment horizontal="center" vertical="center"/>
    </xf>
    <xf numFmtId="0" fontId="8" fillId="0" borderId="165" xfId="0" applyFont="1" applyBorder="1" applyAlignment="1">
      <alignment horizontal="center"/>
    </xf>
    <xf numFmtId="44" fontId="0" fillId="0" borderId="214" xfId="0" applyNumberFormat="1" applyBorder="1" applyAlignment="1">
      <alignment horizontal="center"/>
    </xf>
    <xf numFmtId="0" fontId="3" fillId="15" borderId="210" xfId="0" applyFont="1" applyFill="1" applyBorder="1" applyAlignment="1">
      <alignment horizontal="center" vertical="center"/>
    </xf>
    <xf numFmtId="0" fontId="3" fillId="15" borderId="211" xfId="0" applyFont="1" applyFill="1" applyBorder="1" applyAlignment="1">
      <alignment horizontal="center" vertical="center"/>
    </xf>
    <xf numFmtId="0" fontId="3" fillId="15" borderId="191" xfId="0" applyFont="1" applyFill="1" applyBorder="1" applyAlignment="1">
      <alignment horizontal="center" vertical="center"/>
    </xf>
    <xf numFmtId="0" fontId="3" fillId="15" borderId="178" xfId="0" applyFont="1" applyFill="1" applyBorder="1" applyAlignment="1">
      <alignment horizontal="center" vertical="center"/>
    </xf>
    <xf numFmtId="0" fontId="3" fillId="15" borderId="212" xfId="0" applyFont="1" applyFill="1" applyBorder="1" applyAlignment="1">
      <alignment horizontal="center" vertical="center"/>
    </xf>
    <xf numFmtId="0" fontId="3" fillId="15" borderId="188" xfId="0" applyFont="1" applyFill="1" applyBorder="1" applyAlignment="1">
      <alignment horizontal="center" vertical="center"/>
    </xf>
    <xf numFmtId="0" fontId="13" fillId="39" borderId="0" xfId="0" applyFont="1" applyFill="1" applyAlignment="1">
      <alignment horizontal="center" vertical="center"/>
    </xf>
    <xf numFmtId="169" fontId="0" fillId="0" borderId="165" xfId="0" applyNumberFormat="1" applyBorder="1" applyAlignment="1">
      <alignment horizontal="center"/>
    </xf>
    <xf numFmtId="1" fontId="0" fillId="0" borderId="165" xfId="0" applyNumberFormat="1" applyBorder="1" applyAlignment="1">
      <alignment horizontal="center"/>
    </xf>
    <xf numFmtId="0" fontId="24" fillId="39" borderId="0" xfId="0" applyFont="1" applyFill="1" applyAlignment="1">
      <alignment horizontal="center" vertical="center"/>
    </xf>
    <xf numFmtId="49" fontId="0" fillId="32" borderId="0" xfId="0" applyNumberFormat="1" applyFill="1" applyAlignment="1">
      <alignment horizontal="center"/>
    </xf>
    <xf numFmtId="0" fontId="0" fillId="32" borderId="0" xfId="0" applyFill="1" applyAlignment="1">
      <alignment horizontal="center"/>
    </xf>
    <xf numFmtId="0" fontId="0" fillId="0" borderId="87" xfId="0" applyBorder="1" applyAlignment="1">
      <alignment horizontal="left" vertical="center"/>
    </xf>
    <xf numFmtId="2" fontId="0" fillId="0" borderId="87" xfId="0" applyNumberFormat="1" applyBorder="1" applyAlignment="1">
      <alignment horizontal="center"/>
    </xf>
    <xf numFmtId="0" fontId="0" fillId="0" borderId="87" xfId="0" applyBorder="1" applyAlignment="1">
      <alignment horizontal="center"/>
    </xf>
    <xf numFmtId="9" fontId="0" fillId="0" borderId="87" xfId="1" applyFont="1" applyBorder="1" applyAlignment="1">
      <alignment horizontal="center"/>
    </xf>
    <xf numFmtId="170" fontId="0" fillId="0" borderId="87" xfId="0" applyNumberFormat="1" applyBorder="1" applyAlignment="1">
      <alignment horizontal="center"/>
    </xf>
    <xf numFmtId="0" fontId="0" fillId="0" borderId="101" xfId="0" applyBorder="1" applyAlignment="1">
      <alignment horizontal="center"/>
    </xf>
    <xf numFmtId="0" fontId="0" fillId="0" borderId="102" xfId="0" applyBorder="1" applyAlignment="1">
      <alignment horizontal="center"/>
    </xf>
    <xf numFmtId="0" fontId="0" fillId="0" borderId="103" xfId="0" applyBorder="1" applyAlignment="1">
      <alignment horizontal="center"/>
    </xf>
    <xf numFmtId="49" fontId="16" fillId="0" borderId="90" xfId="0" applyNumberFormat="1" applyFont="1" applyBorder="1" applyAlignment="1">
      <alignment horizontal="center" vertical="center"/>
    </xf>
    <xf numFmtId="49" fontId="16" fillId="0" borderId="92" xfId="0" applyNumberFormat="1" applyFont="1" applyBorder="1" applyAlignment="1">
      <alignment horizontal="center" vertical="center"/>
    </xf>
    <xf numFmtId="49" fontId="16" fillId="0" borderId="91" xfId="0" applyNumberFormat="1" applyFont="1" applyBorder="1" applyAlignment="1">
      <alignment horizontal="center" vertical="center"/>
    </xf>
    <xf numFmtId="0" fontId="8" fillId="0" borderId="87" xfId="0" applyFont="1" applyBorder="1" applyAlignment="1">
      <alignment horizontal="center" vertical="center"/>
    </xf>
    <xf numFmtId="1" fontId="0" fillId="0" borderId="87" xfId="0" applyNumberFormat="1" applyBorder="1" applyAlignment="1">
      <alignment horizontal="center"/>
    </xf>
    <xf numFmtId="0" fontId="0" fillId="0" borderId="90" xfId="0" applyBorder="1" applyAlignment="1">
      <alignment horizontal="center"/>
    </xf>
    <xf numFmtId="49" fontId="10" fillId="0" borderId="90" xfId="0" applyNumberFormat="1" applyFont="1" applyBorder="1" applyAlignment="1">
      <alignment horizontal="center" vertical="center" wrapText="1"/>
    </xf>
    <xf numFmtId="0" fontId="10" fillId="0" borderId="92" xfId="0" applyFont="1" applyBorder="1" applyAlignment="1">
      <alignment horizontal="center" vertical="center" wrapText="1"/>
    </xf>
    <xf numFmtId="0" fontId="10" fillId="0" borderId="91" xfId="0" applyFont="1" applyBorder="1" applyAlignment="1">
      <alignment horizontal="center" vertical="center" wrapText="1"/>
    </xf>
    <xf numFmtId="9" fontId="0" fillId="0" borderId="94" xfId="1" applyFont="1" applyBorder="1" applyAlignment="1">
      <alignment horizontal="center"/>
    </xf>
    <xf numFmtId="9" fontId="0" fillId="0" borderId="95" xfId="1" applyFont="1" applyBorder="1" applyAlignment="1">
      <alignment horizontal="center"/>
    </xf>
    <xf numFmtId="9" fontId="0" fillId="0" borderId="96" xfId="1" applyFont="1" applyBorder="1" applyAlignment="1">
      <alignment horizontal="center"/>
    </xf>
    <xf numFmtId="0" fontId="0" fillId="0" borderId="94" xfId="0" applyBorder="1" applyAlignment="1">
      <alignment horizontal="center"/>
    </xf>
    <xf numFmtId="0" fontId="0" fillId="0" borderId="95" xfId="0" applyBorder="1" applyAlignment="1">
      <alignment horizontal="center"/>
    </xf>
    <xf numFmtId="0" fontId="0" fillId="0" borderId="96" xfId="0" applyBorder="1" applyAlignment="1">
      <alignment horizontal="center"/>
    </xf>
    <xf numFmtId="180" fontId="0" fillId="0" borderId="87" xfId="3" applyNumberFormat="1" applyFont="1" applyBorder="1" applyAlignment="1">
      <alignment horizontal="center"/>
    </xf>
    <xf numFmtId="44" fontId="0" fillId="0" borderId="94" xfId="3" applyFont="1" applyBorder="1" applyAlignment="1">
      <alignment horizontal="center"/>
    </xf>
    <xf numFmtId="44" fontId="0" fillId="0" borderId="95" xfId="3" applyFont="1" applyBorder="1" applyAlignment="1">
      <alignment horizontal="center"/>
    </xf>
    <xf numFmtId="44" fontId="0" fillId="0" borderId="96" xfId="3" applyFont="1" applyBorder="1" applyAlignment="1">
      <alignment horizontal="center"/>
    </xf>
    <xf numFmtId="165" fontId="0" fillId="0" borderId="87" xfId="2" applyNumberFormat="1" applyFont="1" applyBorder="1" applyAlignment="1">
      <alignment horizontal="center" vertical="center"/>
    </xf>
    <xf numFmtId="0" fontId="0" fillId="0" borderId="92" xfId="0" applyBorder="1" applyAlignment="1">
      <alignment horizontal="center"/>
    </xf>
    <xf numFmtId="0" fontId="0" fillId="0" borderId="91" xfId="0" applyBorder="1" applyAlignment="1">
      <alignment horizontal="center"/>
    </xf>
    <xf numFmtId="9" fontId="0" fillId="0" borderId="90" xfId="1" applyFont="1" applyBorder="1" applyAlignment="1">
      <alignment horizontal="center"/>
    </xf>
    <xf numFmtId="9" fontId="0" fillId="0" borderId="92" xfId="1" applyFont="1" applyBorder="1" applyAlignment="1">
      <alignment horizontal="center"/>
    </xf>
    <xf numFmtId="9" fontId="0" fillId="0" borderId="91" xfId="1" applyFont="1" applyBorder="1" applyAlignment="1">
      <alignment horizontal="center"/>
    </xf>
    <xf numFmtId="171" fontId="0" fillId="0" borderId="87" xfId="3" applyNumberFormat="1" applyFont="1" applyBorder="1" applyAlignment="1">
      <alignment horizontal="center"/>
    </xf>
    <xf numFmtId="9" fontId="0" fillId="0" borderId="87" xfId="0" applyNumberFormat="1" applyBorder="1" applyAlignment="1">
      <alignment horizontal="center"/>
    </xf>
    <xf numFmtId="0" fontId="8" fillId="0" borderId="0" xfId="0" applyFont="1" applyAlignment="1">
      <alignment horizontal="center"/>
    </xf>
    <xf numFmtId="44" fontId="0" fillId="0" borderId="0" xfId="0" applyNumberFormat="1" applyAlignment="1">
      <alignment horizontal="right" vertical="center"/>
    </xf>
    <xf numFmtId="0" fontId="0" fillId="0" borderId="0" xfId="0" applyAlignment="1">
      <alignment horizontal="right" vertical="center"/>
    </xf>
    <xf numFmtId="0" fontId="8" fillId="0" borderId="163" xfId="0" applyFont="1" applyBorder="1" applyAlignment="1">
      <alignment horizontal="center"/>
    </xf>
    <xf numFmtId="44" fontId="0" fillId="0" borderId="163" xfId="0" applyNumberFormat="1" applyBorder="1" applyAlignment="1">
      <alignment horizontal="right" vertical="center"/>
    </xf>
    <xf numFmtId="0" fontId="0" fillId="0" borderId="163" xfId="0" applyBorder="1" applyAlignment="1">
      <alignment horizontal="right" vertical="center"/>
    </xf>
    <xf numFmtId="44" fontId="3" fillId="0" borderId="0" xfId="0" applyNumberFormat="1" applyFont="1" applyAlignment="1">
      <alignment horizontal="right" vertical="center"/>
    </xf>
    <xf numFmtId="0" fontId="3" fillId="0" borderId="0" xfId="0" applyFont="1" applyAlignment="1">
      <alignment horizontal="right" vertical="center"/>
    </xf>
    <xf numFmtId="0" fontId="9" fillId="0" borderId="163" xfId="0" applyFont="1" applyBorder="1" applyAlignment="1">
      <alignment horizontal="center" vertical="center" wrapText="1"/>
    </xf>
    <xf numFmtId="0" fontId="9" fillId="0" borderId="163" xfId="0" applyFont="1" applyBorder="1" applyAlignment="1">
      <alignment horizontal="center"/>
    </xf>
    <xf numFmtId="0" fontId="3" fillId="0" borderId="164" xfId="0" applyFont="1" applyBorder="1" applyAlignment="1">
      <alignment horizontal="center" vertical="center"/>
    </xf>
    <xf numFmtId="44" fontId="3" fillId="0" borderId="164" xfId="0" applyNumberFormat="1" applyFont="1" applyBorder="1" applyAlignment="1">
      <alignment horizontal="right" vertical="center"/>
    </xf>
    <xf numFmtId="0" fontId="3" fillId="0" borderId="164" xfId="0" applyFont="1" applyBorder="1" applyAlignment="1">
      <alignment horizontal="right" vertical="center"/>
    </xf>
    <xf numFmtId="167" fontId="11" fillId="0" borderId="0" xfId="0" applyNumberFormat="1" applyFont="1" applyAlignment="1">
      <alignment horizontal="right" vertical="center"/>
    </xf>
    <xf numFmtId="167" fontId="11" fillId="0" borderId="163" xfId="0" applyNumberFormat="1" applyFont="1" applyBorder="1" applyAlignment="1">
      <alignment horizontal="right" vertical="center"/>
    </xf>
    <xf numFmtId="0" fontId="3" fillId="0" borderId="163" xfId="0" applyFont="1" applyBorder="1" applyAlignment="1">
      <alignment horizontal="center" vertical="center"/>
    </xf>
    <xf numFmtId="44" fontId="3" fillId="0" borderId="163" xfId="0" applyNumberFormat="1" applyFont="1" applyBorder="1" applyAlignment="1">
      <alignment horizontal="right" vertical="center"/>
    </xf>
    <xf numFmtId="0" fontId="11" fillId="0" borderId="163" xfId="0" applyFont="1" applyBorder="1" applyAlignment="1">
      <alignment vertical="center"/>
    </xf>
    <xf numFmtId="167" fontId="11" fillId="0" borderId="164" xfId="0" applyNumberFormat="1" applyFont="1" applyBorder="1" applyAlignment="1">
      <alignment horizontal="right" vertical="center"/>
    </xf>
    <xf numFmtId="0" fontId="3" fillId="0" borderId="164" xfId="0" applyFont="1" applyBorder="1" applyAlignment="1">
      <alignment horizontal="center" vertical="center" wrapText="1"/>
    </xf>
    <xf numFmtId="0" fontId="3" fillId="0" borderId="0" xfId="0" applyFont="1" applyAlignment="1">
      <alignment horizontal="center" vertical="center" wrapText="1"/>
    </xf>
    <xf numFmtId="0" fontId="3" fillId="0" borderId="163" xfId="0" applyFont="1" applyBorder="1" applyAlignment="1">
      <alignment horizontal="center" vertical="center" wrapText="1"/>
    </xf>
    <xf numFmtId="44" fontId="3" fillId="0" borderId="164" xfId="0" applyNumberFormat="1" applyFont="1" applyBorder="1" applyAlignment="1">
      <alignment horizontal="center" vertical="center"/>
    </xf>
    <xf numFmtId="44" fontId="3" fillId="0" borderId="0" xfId="0" applyNumberFormat="1" applyFont="1" applyAlignment="1">
      <alignment horizontal="center" vertical="center"/>
    </xf>
    <xf numFmtId="44" fontId="3" fillId="0" borderId="163" xfId="0" applyNumberFormat="1" applyFont="1" applyBorder="1" applyAlignment="1">
      <alignment horizontal="center" vertical="center"/>
    </xf>
    <xf numFmtId="0" fontId="20" fillId="0" borderId="164" xfId="0" applyFont="1" applyBorder="1" applyAlignment="1">
      <alignment horizontal="center" vertical="center" wrapText="1"/>
    </xf>
    <xf numFmtId="0" fontId="20" fillId="0" borderId="0" xfId="0" applyFont="1" applyAlignment="1">
      <alignment horizontal="center" vertical="center" wrapText="1"/>
    </xf>
    <xf numFmtId="0" fontId="20" fillId="0" borderId="163" xfId="0" applyFont="1" applyBorder="1" applyAlignment="1">
      <alignment horizontal="center" vertical="center" wrapText="1"/>
    </xf>
    <xf numFmtId="44" fontId="20" fillId="0" borderId="164" xfId="0" applyNumberFormat="1" applyFont="1" applyBorder="1" applyAlignment="1">
      <alignment horizontal="center" vertical="center"/>
    </xf>
    <xf numFmtId="44" fontId="20" fillId="0" borderId="0" xfId="0" applyNumberFormat="1" applyFont="1" applyAlignment="1">
      <alignment horizontal="center" vertical="center"/>
    </xf>
    <xf numFmtId="44" fontId="20" fillId="0" borderId="163" xfId="0" applyNumberFormat="1" applyFont="1" applyBorder="1" applyAlignment="1">
      <alignment horizontal="center" vertical="center"/>
    </xf>
    <xf numFmtId="2" fontId="20" fillId="0" borderId="164" xfId="0" applyNumberFormat="1" applyFont="1" applyBorder="1" applyAlignment="1">
      <alignment horizontal="center" vertical="center"/>
    </xf>
    <xf numFmtId="2" fontId="20" fillId="0" borderId="0" xfId="0" applyNumberFormat="1" applyFont="1" applyAlignment="1">
      <alignment horizontal="center" vertical="center"/>
    </xf>
    <xf numFmtId="2" fontId="20" fillId="0" borderId="163" xfId="0" applyNumberFormat="1" applyFont="1" applyBorder="1" applyAlignment="1">
      <alignment horizontal="center" vertical="center"/>
    </xf>
    <xf numFmtId="1" fontId="0" fillId="0" borderId="11" xfId="0" applyNumberFormat="1" applyBorder="1" applyAlignment="1">
      <alignment horizontal="center"/>
    </xf>
    <xf numFmtId="0" fontId="3" fillId="20" borderId="7" xfId="0" applyFont="1" applyFill="1" applyBorder="1" applyAlignment="1">
      <alignment horizontal="center"/>
    </xf>
    <xf numFmtId="0" fontId="3" fillId="20" borderId="9" xfId="0" applyFont="1" applyFill="1" applyBorder="1" applyAlignment="1">
      <alignment horizontal="center"/>
    </xf>
    <xf numFmtId="0" fontId="3" fillId="20" borderId="69" xfId="0" applyFont="1" applyFill="1" applyBorder="1" applyAlignment="1">
      <alignment horizontal="center"/>
    </xf>
    <xf numFmtId="0" fontId="3" fillId="20" borderId="23" xfId="0" applyFont="1" applyFill="1" applyBorder="1" applyAlignment="1">
      <alignment horizontal="center"/>
    </xf>
    <xf numFmtId="0" fontId="3" fillId="20" borderId="22" xfId="0" applyFont="1" applyFill="1" applyBorder="1" applyAlignment="1">
      <alignment horizontal="center"/>
    </xf>
    <xf numFmtId="1" fontId="0" fillId="0" borderId="1" xfId="0" applyNumberFormat="1" applyBorder="1" applyAlignment="1">
      <alignment horizontal="center"/>
    </xf>
    <xf numFmtId="1" fontId="0" fillId="0" borderId="25" xfId="0" applyNumberFormat="1" applyBorder="1" applyAlignment="1">
      <alignment horizontal="center"/>
    </xf>
    <xf numFmtId="1" fontId="0" fillId="0" borderId="12" xfId="0" applyNumberFormat="1" applyBorder="1" applyAlignment="1">
      <alignment horizontal="center"/>
    </xf>
    <xf numFmtId="0" fontId="3" fillId="20" borderId="8" xfId="0" applyFont="1" applyFill="1" applyBorder="1" applyAlignment="1">
      <alignment horizontal="center"/>
    </xf>
    <xf numFmtId="0" fontId="3" fillId="20" borderId="2" xfId="0" applyFont="1" applyFill="1" applyBorder="1" applyAlignment="1">
      <alignment horizontal="center"/>
    </xf>
    <xf numFmtId="0" fontId="3" fillId="20" borderId="67" xfId="0" applyFont="1" applyFill="1" applyBorder="1" applyAlignment="1">
      <alignment horizontal="center"/>
    </xf>
    <xf numFmtId="0" fontId="3" fillId="20" borderId="3" xfId="0" applyFont="1" applyFill="1" applyBorder="1" applyAlignment="1">
      <alignment horizontal="center"/>
    </xf>
    <xf numFmtId="0" fontId="0" fillId="0" borderId="21" xfId="0" applyBorder="1" applyAlignment="1">
      <alignment horizontal="center"/>
    </xf>
    <xf numFmtId="0" fontId="3" fillId="20" borderId="36" xfId="0" applyFont="1" applyFill="1" applyBorder="1" applyAlignment="1">
      <alignment horizontal="center"/>
    </xf>
    <xf numFmtId="0" fontId="3" fillId="20" borderId="39" xfId="0" applyFont="1" applyFill="1" applyBorder="1" applyAlignment="1">
      <alignment horizontal="center"/>
    </xf>
    <xf numFmtId="0" fontId="3" fillId="20" borderId="70" xfId="0" applyFont="1" applyFill="1" applyBorder="1" applyAlignment="1">
      <alignment horizontal="center"/>
    </xf>
    <xf numFmtId="0" fontId="3" fillId="20" borderId="76" xfId="0" applyFont="1" applyFill="1" applyBorder="1" applyAlignment="1">
      <alignment horizontal="center"/>
    </xf>
    <xf numFmtId="0" fontId="3" fillId="20" borderId="56" xfId="0" applyFont="1" applyFill="1" applyBorder="1" applyAlignment="1">
      <alignment horizontal="center"/>
    </xf>
    <xf numFmtId="0" fontId="3" fillId="20" borderId="26" xfId="0" applyFont="1" applyFill="1" applyBorder="1" applyAlignment="1">
      <alignment horizontal="center"/>
    </xf>
    <xf numFmtId="0" fontId="3" fillId="20" borderId="27" xfId="0" applyFont="1" applyFill="1" applyBorder="1" applyAlignment="1">
      <alignment horizontal="center"/>
    </xf>
    <xf numFmtId="0" fontId="3" fillId="20" borderId="28" xfId="0" applyFont="1" applyFill="1" applyBorder="1" applyAlignment="1">
      <alignment horizontal="center"/>
    </xf>
    <xf numFmtId="44" fontId="0" fillId="0" borderId="8" xfId="3" applyFont="1" applyBorder="1" applyAlignment="1">
      <alignment horizontal="center" vertical="center"/>
    </xf>
    <xf numFmtId="44" fontId="0" fillId="0" borderId="1" xfId="3" applyFont="1" applyBorder="1" applyAlignment="1">
      <alignment horizontal="center" vertical="center"/>
    </xf>
    <xf numFmtId="44" fontId="0" fillId="0" borderId="11" xfId="3" applyFont="1" applyBorder="1" applyAlignment="1">
      <alignment horizontal="center" vertical="center"/>
    </xf>
    <xf numFmtId="0" fontId="0" fillId="0" borderId="8" xfId="3" applyNumberFormat="1" applyFont="1" applyBorder="1" applyAlignment="1">
      <alignment horizontal="center" vertical="center"/>
    </xf>
    <xf numFmtId="0" fontId="0" fillId="0" borderId="1" xfId="3" applyNumberFormat="1" applyFont="1" applyBorder="1" applyAlignment="1">
      <alignment horizontal="center" vertical="center"/>
    </xf>
    <xf numFmtId="0" fontId="0" fillId="0" borderId="11" xfId="3" applyNumberFormat="1" applyFont="1" applyBorder="1" applyAlignment="1">
      <alignment horizontal="center" vertical="center"/>
    </xf>
    <xf numFmtId="0" fontId="17" fillId="36" borderId="0" xfId="0" applyFont="1" applyFill="1" applyAlignment="1">
      <alignment horizontal="center" vertical="center"/>
    </xf>
    <xf numFmtId="44" fontId="0" fillId="0" borderId="9" xfId="3" applyFont="1" applyBorder="1" applyAlignment="1">
      <alignment horizontal="center" vertical="center"/>
    </xf>
    <xf numFmtId="44" fontId="0" fillId="0" borderId="25" xfId="3" applyFont="1" applyBorder="1" applyAlignment="1">
      <alignment horizontal="center" vertical="center"/>
    </xf>
    <xf numFmtId="44" fontId="0" fillId="0" borderId="12" xfId="3" applyFont="1" applyBorder="1" applyAlignment="1">
      <alignment horizontal="center" vertical="center"/>
    </xf>
    <xf numFmtId="0" fontId="0" fillId="54" borderId="100" xfId="0" applyFill="1" applyBorder="1" applyAlignment="1">
      <alignment horizontal="center"/>
    </xf>
    <xf numFmtId="0" fontId="0" fillId="0" borderId="1" xfId="0" applyBorder="1" applyAlignment="1">
      <alignment horizontal="center"/>
    </xf>
    <xf numFmtId="0" fontId="11" fillId="0" borderId="160" xfId="0" applyFont="1" applyBorder="1" applyAlignment="1">
      <alignment horizontal="center" vertical="center"/>
    </xf>
    <xf numFmtId="0" fontId="11" fillId="0" borderId="54" xfId="0" applyFont="1" applyBorder="1" applyAlignment="1">
      <alignment horizontal="center" vertical="center"/>
    </xf>
    <xf numFmtId="0" fontId="11" fillId="0" borderId="161" xfId="0" applyFont="1" applyBorder="1" applyAlignment="1">
      <alignment horizontal="center" vertical="center"/>
    </xf>
    <xf numFmtId="0" fontId="11" fillId="0" borderId="88" xfId="0" applyFont="1" applyBorder="1" applyAlignment="1">
      <alignment horizontal="center" vertical="center"/>
    </xf>
    <xf numFmtId="0" fontId="11" fillId="0" borderId="100" xfId="0" applyFont="1" applyBorder="1" applyAlignment="1">
      <alignment horizontal="center" vertical="center"/>
    </xf>
    <xf numFmtId="0" fontId="11" fillId="0" borderId="41" xfId="0" applyFont="1" applyBorder="1" applyAlignment="1">
      <alignment horizontal="center" vertical="center"/>
    </xf>
    <xf numFmtId="0" fontId="0" fillId="0" borderId="5" xfId="0" applyBorder="1" applyAlignment="1">
      <alignment horizontal="center"/>
    </xf>
    <xf numFmtId="0" fontId="0" fillId="0" borderId="244" xfId="0" applyBorder="1" applyAlignment="1">
      <alignment horizontal="center"/>
    </xf>
    <xf numFmtId="0" fontId="28" fillId="0" borderId="1" xfId="0" applyFont="1" applyBorder="1" applyAlignment="1">
      <alignment horizontal="center" vertical="center" textRotation="90"/>
    </xf>
    <xf numFmtId="0" fontId="28" fillId="0" borderId="2" xfId="0" applyFont="1" applyBorder="1" applyAlignment="1">
      <alignment horizontal="center" vertical="center" textRotation="90"/>
    </xf>
    <xf numFmtId="0" fontId="0" fillId="0" borderId="1" xfId="0" applyBorder="1" applyAlignment="1">
      <alignment horizontal="center" wrapText="1"/>
    </xf>
  </cellXfs>
  <cellStyles count="6">
    <cellStyle name="Milliers" xfId="2" builtinId="3"/>
    <cellStyle name="Milliers 2" xfId="5" xr:uid="{09AF8682-AB71-4028-93A0-847555D676F8}"/>
    <cellStyle name="Monétaire" xfId="3" builtinId="4"/>
    <cellStyle name="Normal" xfId="0" builtinId="0"/>
    <cellStyle name="Normal 2" xfId="4" xr:uid="{17EBE3A6-C630-4815-A543-199691F42D7C}"/>
    <cellStyle name="Pourcentage" xfId="1" builtinId="5"/>
  </cellStyles>
  <dxfs count="128">
    <dxf>
      <font>
        <color rgb="FFFF0000"/>
      </font>
    </dxf>
    <dxf>
      <border>
        <left style="thin">
          <color rgb="FF800000"/>
        </left>
        <right style="thin">
          <color rgb="FF800000"/>
        </right>
        <top style="thin">
          <color rgb="FF800000"/>
        </top>
        <vertical style="thin">
          <color rgb="FF800000"/>
        </vertical>
        <horizontal style="thin">
          <color rgb="FF800000"/>
        </horizontal>
      </border>
    </dxf>
    <dxf>
      <border>
        <left style="thin">
          <color rgb="FF800000"/>
        </left>
        <right style="thin">
          <color rgb="FF800000"/>
        </right>
        <top style="thin">
          <color rgb="FF800000"/>
        </top>
        <vertical style="thin">
          <color rgb="FF800000"/>
        </vertical>
        <horizontal style="thin">
          <color rgb="FF800000"/>
        </horizontal>
      </border>
    </dxf>
    <dxf>
      <border>
        <left style="thin">
          <color rgb="FF800000"/>
        </left>
        <right style="thin">
          <color rgb="FF800000"/>
        </right>
        <top style="thin">
          <color rgb="FF800000"/>
        </top>
        <vertical style="thin">
          <color rgb="FF800000"/>
        </vertical>
        <horizontal style="thin">
          <color rgb="FF800000"/>
        </horizontal>
      </border>
    </dxf>
    <dxf>
      <border>
        <left style="thin">
          <color rgb="FF800000"/>
        </left>
        <right style="thin">
          <color rgb="FF800000"/>
        </right>
        <top style="thin">
          <color rgb="FF800000"/>
        </top>
        <vertical style="thin">
          <color rgb="FF800000"/>
        </vertical>
        <horizontal style="thin">
          <color rgb="FF800000"/>
        </horizontal>
      </border>
    </dxf>
    <dxf>
      <border>
        <left style="thin">
          <color rgb="FF800000"/>
        </left>
        <right style="thin">
          <color rgb="FF800000"/>
        </right>
        <top style="thin">
          <color rgb="FF800000"/>
        </top>
        <vertical style="thin">
          <color rgb="FF800000"/>
        </vertical>
        <horizontal style="thin">
          <color rgb="FF800000"/>
        </horizontal>
      </border>
    </dxf>
    <dxf>
      <border>
        <left style="thin">
          <color rgb="FF800000"/>
        </left>
        <right style="thin">
          <color rgb="FF800000"/>
        </right>
        <top style="thin">
          <color rgb="FF800000"/>
        </top>
        <vertical style="thin">
          <color rgb="FF800000"/>
        </vertical>
        <horizontal style="thin">
          <color rgb="FF800000"/>
        </horizontal>
      </border>
    </dxf>
    <dxf>
      <border>
        <left style="thin">
          <color rgb="FF800000"/>
        </left>
        <right style="thin">
          <color rgb="FF800000"/>
        </right>
        <top style="thin">
          <color rgb="FF800000"/>
        </top>
        <bottom style="thin">
          <color rgb="FF800000"/>
        </bottom>
        <vertical style="thin">
          <color rgb="FF800000"/>
        </vertical>
        <horizontal style="thin">
          <color rgb="FF800000"/>
        </horizontal>
      </border>
    </dxf>
    <dxf>
      <border>
        <left style="thin">
          <color rgb="FF800000"/>
        </left>
        <right style="thin">
          <color rgb="FF800000"/>
        </right>
        <top style="thin">
          <color rgb="FF800000"/>
        </top>
        <bottom style="thin">
          <color rgb="FF800000"/>
        </bottom>
        <vertical style="thin">
          <color rgb="FF800000"/>
        </vertical>
        <horizontal style="thin">
          <color rgb="FF800000"/>
        </horizontal>
      </border>
    </dxf>
    <dxf>
      <border>
        <left style="thin">
          <color rgb="FF800000"/>
        </left>
        <right style="thin">
          <color rgb="FF800000"/>
        </right>
        <top style="thin">
          <color rgb="FF800000"/>
        </top>
        <bottom style="thin">
          <color rgb="FF800000"/>
        </bottom>
        <vertical style="thin">
          <color rgb="FF800000"/>
        </vertical>
        <horizontal style="thin">
          <color rgb="FF800000"/>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8" tint="0.59999389629810485"/>
        </patternFill>
      </fill>
      <border diagonalUp="0" diagonalDown="0">
        <left style="thin">
          <color indexed="64"/>
        </left>
        <right style="thin">
          <color indexed="64"/>
        </right>
        <top style="thin">
          <color indexed="64"/>
        </top>
        <bottom style="thin">
          <color indexed="64"/>
        </bottom>
        <vertical/>
        <horizontal/>
      </border>
    </dxf>
    <dxf>
      <numFmt numFmtId="1" formatCode="0"/>
      <fill>
        <patternFill patternType="solid">
          <fgColor indexed="64"/>
          <bgColor theme="8" tint="0.59999389629810485"/>
        </patternFill>
      </fill>
      <border diagonalUp="0" diagonalDown="0">
        <left style="thin">
          <color indexed="64"/>
        </left>
        <right style="thin">
          <color indexed="64"/>
        </right>
        <top style="thin">
          <color indexed="64"/>
        </top>
        <bottom style="thin">
          <color indexed="64"/>
        </bottom>
        <vertical/>
        <horizontal/>
      </border>
    </dxf>
    <dxf>
      <numFmt numFmtId="165" formatCode="0.0"/>
      <fill>
        <patternFill patternType="solid">
          <fgColor indexed="64"/>
          <bgColor theme="8" tint="0.59999389629810485"/>
        </patternFill>
      </fill>
      <border diagonalUp="0" diagonalDown="0">
        <left style="thin">
          <color indexed="64"/>
        </left>
        <right style="thin">
          <color indexed="64"/>
        </right>
        <top style="thin">
          <color indexed="64"/>
        </top>
        <bottom style="thin">
          <color indexed="64"/>
        </bottom>
        <vertical/>
        <horizontal/>
      </border>
    </dxf>
    <dxf>
      <numFmt numFmtId="165" formatCode="0.0"/>
      <fill>
        <patternFill patternType="solid">
          <fgColor indexed="64"/>
          <bgColor theme="8" tint="0.59999389629810485"/>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8"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8"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8"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8"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8"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8" tint="0.79998168889431442"/>
        </patternFill>
      </fill>
      <border diagonalUp="0" diagonalDown="0">
        <left style="thin">
          <color indexed="64"/>
        </left>
        <right style="thin">
          <color indexed="64"/>
        </right>
        <top style="thin">
          <color indexed="64"/>
        </top>
        <bottom style="thin">
          <color indexed="64"/>
        </bottom>
        <vertical/>
        <horizontal/>
      </border>
    </dxf>
    <dxf>
      <numFmt numFmtId="19" formatCode="dd/mm/yyyy"/>
      <fill>
        <patternFill patternType="solid">
          <fgColor indexed="64"/>
          <bgColor theme="8" tint="0.79998168889431442"/>
        </patternFill>
      </fill>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medium">
          <color indexed="64"/>
        </top>
        <bottom style="thin">
          <color indexed="64"/>
        </bottom>
      </border>
    </dxf>
    <dxf>
      <fill>
        <patternFill patternType="solid">
          <fgColor indexed="64"/>
          <bgColor theme="8" tint="0.59999389629810485"/>
        </patternFill>
      </fill>
    </dxf>
    <dxf>
      <border outline="0">
        <bottom style="thin">
          <color indexed="64"/>
        </bottom>
      </border>
    </dxf>
    <dxf>
      <fill>
        <patternFill patternType="solid">
          <fgColor indexed="64"/>
          <bgColor theme="8"/>
        </patternFill>
      </fill>
      <border diagonalUp="0" diagonalDown="0" outline="0">
        <left style="thin">
          <color indexed="64"/>
        </left>
        <right style="thin">
          <color indexed="64"/>
        </right>
        <top/>
        <bottom/>
      </border>
    </dxf>
  </dxfs>
  <tableStyles count="0" defaultTableStyle="TableStyleMedium2" defaultPivotStyle="PivotStyleMedium9"/>
  <colors>
    <mruColors>
      <color rgb="FF800000"/>
      <color rgb="FFFF66CC"/>
      <color rgb="FFFFFF66"/>
      <color rgb="FFFF6600"/>
      <color rgb="FFFF0066"/>
      <color rgb="FF660033"/>
      <color rgb="FFFFFF99"/>
      <color rgb="FFCC00FF"/>
      <color rgb="FFCC00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171083547666915E-2"/>
          <c:y val="6.2005714475563981E-2"/>
          <c:w val="0.92726008112622282"/>
          <c:h val="0.9100878624828237"/>
        </c:manualLayout>
      </c:layout>
      <c:barChart>
        <c:barDir val="col"/>
        <c:grouping val="stacked"/>
        <c:varyColors val="0"/>
        <c:ser>
          <c:idx val="0"/>
          <c:order val="0"/>
          <c:tx>
            <c:strRef>
              <c:f>Calcule!$AL$20</c:f>
              <c:strCache>
                <c:ptCount val="1"/>
                <c:pt idx="0">
                  <c:v>Produit atelier ovin</c:v>
                </c:pt>
              </c:strCache>
            </c:strRef>
          </c:tx>
          <c:spPr>
            <a:solidFill>
              <a:schemeClr val="accent5"/>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Calcule!$AM$23:$AN$23</c:f>
              <c:strCache>
                <c:ptCount val="2"/>
                <c:pt idx="0">
                  <c:v>Produits ovins</c:v>
                </c:pt>
                <c:pt idx="1">
                  <c:v>Charges ovines</c:v>
                </c:pt>
              </c:strCache>
            </c:strRef>
          </c:cat>
          <c:val>
            <c:numRef>
              <c:f>Calcule!$AM$20:$AN$20</c:f>
              <c:numCache>
                <c:formatCode>#\ ##0\ "€"</c:formatCode>
                <c:ptCount val="2"/>
                <c:pt idx="0">
                  <c:v>0</c:v>
                </c:pt>
              </c:numCache>
            </c:numRef>
          </c:val>
          <c:extLst>
            <c:ext xmlns:c16="http://schemas.microsoft.com/office/drawing/2014/chart" uri="{C3380CC4-5D6E-409C-BE32-E72D297353CC}">
              <c16:uniqueId val="{0000000A-187E-40C3-AD72-96582C7AF88D}"/>
            </c:ext>
          </c:extLst>
        </c:ser>
        <c:ser>
          <c:idx val="2"/>
          <c:order val="1"/>
          <c:tx>
            <c:strRef>
              <c:f>Calcule!$AL$22</c:f>
              <c:strCache>
                <c:ptCount val="1"/>
                <c:pt idx="0">
                  <c:v>Charges opérationnelles ovines</c:v>
                </c:pt>
              </c:strCache>
            </c:strRef>
          </c:tx>
          <c:spPr>
            <a:solidFill>
              <a:srgbClr val="CC0099"/>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Calcule!$AM$23:$AN$23</c:f>
              <c:strCache>
                <c:ptCount val="2"/>
                <c:pt idx="0">
                  <c:v>Produits ovins</c:v>
                </c:pt>
                <c:pt idx="1">
                  <c:v>Charges ovines</c:v>
                </c:pt>
              </c:strCache>
            </c:strRef>
          </c:cat>
          <c:val>
            <c:numRef>
              <c:f>Calcule!$AM$22:$AN$22</c:f>
              <c:numCache>
                <c:formatCode>#\ ##0\ "€"</c:formatCode>
                <c:ptCount val="2"/>
                <c:pt idx="1">
                  <c:v>0</c:v>
                </c:pt>
              </c:numCache>
            </c:numRef>
          </c:val>
          <c:extLst>
            <c:ext xmlns:c16="http://schemas.microsoft.com/office/drawing/2014/chart" uri="{C3380CC4-5D6E-409C-BE32-E72D297353CC}">
              <c16:uniqueId val="{0000000C-187E-40C3-AD72-96582C7AF88D}"/>
            </c:ext>
          </c:extLst>
        </c:ser>
        <c:ser>
          <c:idx val="1"/>
          <c:order val="2"/>
          <c:tx>
            <c:strRef>
              <c:f>Calcule!$AL$21</c:f>
              <c:strCache>
                <c:ptCount val="1"/>
                <c:pt idx="0">
                  <c:v>Marge brute ovine</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Calcule!$AM$23:$AN$23</c:f>
              <c:strCache>
                <c:ptCount val="2"/>
                <c:pt idx="0">
                  <c:v>Produits ovins</c:v>
                </c:pt>
                <c:pt idx="1">
                  <c:v>Charges ovines</c:v>
                </c:pt>
              </c:strCache>
            </c:strRef>
          </c:cat>
          <c:val>
            <c:numRef>
              <c:f>Calcule!$AM$21:$AN$21</c:f>
              <c:numCache>
                <c:formatCode>#\ ##0\ "€"</c:formatCode>
                <c:ptCount val="2"/>
                <c:pt idx="1">
                  <c:v>0</c:v>
                </c:pt>
              </c:numCache>
            </c:numRef>
          </c:val>
          <c:extLst>
            <c:ext xmlns:c16="http://schemas.microsoft.com/office/drawing/2014/chart" uri="{C3380CC4-5D6E-409C-BE32-E72D297353CC}">
              <c16:uniqueId val="{0000000B-187E-40C3-AD72-96582C7AF88D}"/>
            </c:ext>
          </c:extLst>
        </c:ser>
        <c:dLbls>
          <c:dLblPos val="ctr"/>
          <c:showLegendKey val="0"/>
          <c:showVal val="1"/>
          <c:showCatName val="0"/>
          <c:showSerName val="0"/>
          <c:showPercent val="0"/>
          <c:showBubbleSize val="0"/>
        </c:dLbls>
        <c:gapWidth val="150"/>
        <c:overlap val="100"/>
        <c:axId val="1201058400"/>
        <c:axId val="821331072"/>
      </c:barChart>
      <c:catAx>
        <c:axId val="1201058400"/>
        <c:scaling>
          <c:orientation val="minMax"/>
        </c:scaling>
        <c:delete val="1"/>
        <c:axPos val="b"/>
        <c:numFmt formatCode="General" sourceLinked="1"/>
        <c:majorTickMark val="none"/>
        <c:minorTickMark val="none"/>
        <c:tickLblPos val="nextTo"/>
        <c:crossAx val="821331072"/>
        <c:crosses val="autoZero"/>
        <c:auto val="1"/>
        <c:lblAlgn val="ctr"/>
        <c:lblOffset val="100"/>
        <c:noMultiLvlLbl val="0"/>
      </c:catAx>
      <c:valAx>
        <c:axId val="821331072"/>
        <c:scaling>
          <c:orientation val="minMax"/>
        </c:scaling>
        <c:delete val="0"/>
        <c:axPos val="l"/>
        <c:majorGridlines>
          <c:spPr>
            <a:ln w="9525" cap="flat" cmpd="sng" algn="ctr">
              <a:solidFill>
                <a:schemeClr val="tx1">
                  <a:lumMod val="15000"/>
                  <a:lumOff val="85000"/>
                </a:schemeClr>
              </a:solidFill>
              <a:round/>
            </a:ln>
            <a:effectLst/>
          </c:spPr>
        </c:majorGridlines>
        <c:numFmt formatCode="#\ ##0\ &quot;€&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10584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0"/>
          <c:tx>
            <c:strRef>
              <c:f>Calcule!$AO$9</c:f>
              <c:strCache>
                <c:ptCount val="1"/>
                <c:pt idx="0">
                  <c:v>Frais d'alimentation</c:v>
                </c:pt>
              </c:strCache>
            </c:strRef>
          </c:tx>
          <c:spPr>
            <a:solidFill>
              <a:srgbClr val="C00000"/>
            </a:solidFill>
            <a:ln w="3175" cap="sq">
              <a:solidFill>
                <a:schemeClr val="tx1"/>
              </a:solidFill>
            </a:ln>
            <a:effectLst/>
          </c:spPr>
          <c:invertIfNegative val="0"/>
          <c:cat>
            <c:strRef>
              <c:f>Calcule!$AM$16:$AN$16</c:f>
              <c:strCache>
                <c:ptCount val="2"/>
                <c:pt idx="0">
                  <c:v>Produits ovins</c:v>
                </c:pt>
                <c:pt idx="1">
                  <c:v>Charges ovines</c:v>
                </c:pt>
              </c:strCache>
            </c:strRef>
          </c:cat>
          <c:val>
            <c:numRef>
              <c:f>Calcule!$AM$9:$AN$9</c:f>
              <c:numCache>
                <c:formatCode>#\ ##0\ "€"</c:formatCode>
                <c:ptCount val="2"/>
                <c:pt idx="1">
                  <c:v>0</c:v>
                </c:pt>
              </c:numCache>
            </c:numRef>
          </c:val>
          <c:extLst>
            <c:ext xmlns:c16="http://schemas.microsoft.com/office/drawing/2014/chart" uri="{C3380CC4-5D6E-409C-BE32-E72D297353CC}">
              <c16:uniqueId val="{00000000-4929-4FB6-8792-FDF06B5EA95A}"/>
            </c:ext>
          </c:extLst>
        </c:ser>
        <c:ser>
          <c:idx val="3"/>
          <c:order val="1"/>
          <c:tx>
            <c:strRef>
              <c:f>Calcule!$AO$11</c:f>
              <c:strCache>
                <c:ptCount val="1"/>
                <c:pt idx="0">
                  <c:v>Frais de vétérinaire</c:v>
                </c:pt>
              </c:strCache>
            </c:strRef>
          </c:tx>
          <c:spPr>
            <a:solidFill>
              <a:srgbClr val="FF6600"/>
            </a:solidFill>
            <a:ln w="3175">
              <a:solidFill>
                <a:schemeClr val="tx1"/>
              </a:solidFill>
            </a:ln>
            <a:effectLst/>
          </c:spPr>
          <c:invertIfNegative val="0"/>
          <c:cat>
            <c:strRef>
              <c:f>Calcule!$AM$16:$AN$16</c:f>
              <c:strCache>
                <c:ptCount val="2"/>
                <c:pt idx="0">
                  <c:v>Produits ovins</c:v>
                </c:pt>
                <c:pt idx="1">
                  <c:v>Charges ovines</c:v>
                </c:pt>
              </c:strCache>
            </c:strRef>
          </c:cat>
          <c:val>
            <c:numRef>
              <c:f>Calcule!$AM$11:$AN$11</c:f>
              <c:numCache>
                <c:formatCode>#\ ##0\ "€"</c:formatCode>
                <c:ptCount val="2"/>
                <c:pt idx="1">
                  <c:v>0</c:v>
                </c:pt>
              </c:numCache>
            </c:numRef>
          </c:val>
          <c:extLst>
            <c:ext xmlns:c16="http://schemas.microsoft.com/office/drawing/2014/chart" uri="{C3380CC4-5D6E-409C-BE32-E72D297353CC}">
              <c16:uniqueId val="{00000001-4929-4FB6-8792-FDF06B5EA95A}"/>
            </c:ext>
          </c:extLst>
        </c:ser>
        <c:ser>
          <c:idx val="4"/>
          <c:order val="2"/>
          <c:tx>
            <c:strRef>
              <c:f>Calcule!$AO$10</c:f>
              <c:strCache>
                <c:ptCount val="1"/>
                <c:pt idx="0">
                  <c:v>Frais d'élevage</c:v>
                </c:pt>
              </c:strCache>
            </c:strRef>
          </c:tx>
          <c:spPr>
            <a:solidFill>
              <a:srgbClr val="FF9966"/>
            </a:solidFill>
            <a:ln w="3175">
              <a:solidFill>
                <a:schemeClr val="tx1"/>
              </a:solidFill>
            </a:ln>
            <a:effectLst/>
          </c:spPr>
          <c:invertIfNegative val="0"/>
          <c:cat>
            <c:strRef>
              <c:f>Calcule!$AM$16:$AN$16</c:f>
              <c:strCache>
                <c:ptCount val="2"/>
                <c:pt idx="0">
                  <c:v>Produits ovins</c:v>
                </c:pt>
                <c:pt idx="1">
                  <c:v>Charges ovines</c:v>
                </c:pt>
              </c:strCache>
            </c:strRef>
          </c:cat>
          <c:val>
            <c:numRef>
              <c:f>Calcule!$AM$10:$AN$10</c:f>
              <c:numCache>
                <c:formatCode>#\ ##0\ "€"</c:formatCode>
                <c:ptCount val="2"/>
                <c:pt idx="1">
                  <c:v>0</c:v>
                </c:pt>
              </c:numCache>
            </c:numRef>
          </c:val>
          <c:extLst>
            <c:ext xmlns:c16="http://schemas.microsoft.com/office/drawing/2014/chart" uri="{C3380CC4-5D6E-409C-BE32-E72D297353CC}">
              <c16:uniqueId val="{00000002-4929-4FB6-8792-FDF06B5EA95A}"/>
            </c:ext>
          </c:extLst>
        </c:ser>
        <c:ser>
          <c:idx val="5"/>
          <c:order val="3"/>
          <c:tx>
            <c:strRef>
              <c:f>Calcule!$AO$12</c:f>
              <c:strCache>
                <c:ptCount val="1"/>
                <c:pt idx="0">
                  <c:v>Traveaux par tiers</c:v>
                </c:pt>
              </c:strCache>
            </c:strRef>
          </c:tx>
          <c:spPr>
            <a:solidFill>
              <a:srgbClr val="800080"/>
            </a:solidFill>
            <a:ln w="3175">
              <a:solidFill>
                <a:schemeClr val="tx1"/>
              </a:solidFill>
            </a:ln>
            <a:effectLst/>
          </c:spPr>
          <c:invertIfNegative val="0"/>
          <c:dPt>
            <c:idx val="0"/>
            <c:invertIfNegative val="0"/>
            <c:bubble3D val="0"/>
            <c:spPr>
              <a:solidFill>
                <a:srgbClr val="800080"/>
              </a:solidFill>
              <a:ln w="3175">
                <a:solidFill>
                  <a:schemeClr val="tx1"/>
                </a:solidFill>
              </a:ln>
              <a:effectLst/>
            </c:spPr>
            <c:extLst>
              <c:ext xmlns:c16="http://schemas.microsoft.com/office/drawing/2014/chart" uri="{C3380CC4-5D6E-409C-BE32-E72D297353CC}">
                <c16:uniqueId val="{00000004-4929-4FB6-8792-FDF06B5EA95A}"/>
              </c:ext>
            </c:extLst>
          </c:dPt>
          <c:dPt>
            <c:idx val="1"/>
            <c:invertIfNegative val="0"/>
            <c:bubble3D val="0"/>
            <c:spPr>
              <a:solidFill>
                <a:srgbClr val="800080"/>
              </a:solidFill>
              <a:ln w="3175">
                <a:solidFill>
                  <a:schemeClr val="tx1"/>
                </a:solidFill>
              </a:ln>
              <a:effectLst/>
            </c:spPr>
            <c:extLst>
              <c:ext xmlns:c16="http://schemas.microsoft.com/office/drawing/2014/chart" uri="{C3380CC4-5D6E-409C-BE32-E72D297353CC}">
                <c16:uniqueId val="{00000006-4929-4FB6-8792-FDF06B5EA95A}"/>
              </c:ext>
            </c:extLst>
          </c:dPt>
          <c:cat>
            <c:strRef>
              <c:f>Calcule!$AM$16:$AN$16</c:f>
              <c:strCache>
                <c:ptCount val="2"/>
                <c:pt idx="0">
                  <c:v>Produits ovins</c:v>
                </c:pt>
                <c:pt idx="1">
                  <c:v>Charges ovines</c:v>
                </c:pt>
              </c:strCache>
            </c:strRef>
          </c:cat>
          <c:val>
            <c:numRef>
              <c:f>Calcule!$AM$12:$AN$12</c:f>
              <c:numCache>
                <c:formatCode>#\ ##0\ "€"</c:formatCode>
                <c:ptCount val="2"/>
                <c:pt idx="1">
                  <c:v>0</c:v>
                </c:pt>
              </c:numCache>
            </c:numRef>
          </c:val>
          <c:extLst>
            <c:ext xmlns:c16="http://schemas.microsoft.com/office/drawing/2014/chart" uri="{C3380CC4-5D6E-409C-BE32-E72D297353CC}">
              <c16:uniqueId val="{00000007-4929-4FB6-8792-FDF06B5EA95A}"/>
            </c:ext>
          </c:extLst>
        </c:ser>
        <c:ser>
          <c:idx val="6"/>
          <c:order val="4"/>
          <c:tx>
            <c:strRef>
              <c:f>Calcule!$AO$13</c:f>
              <c:strCache>
                <c:ptCount val="1"/>
                <c:pt idx="0">
                  <c:v>Frais transformation</c:v>
                </c:pt>
              </c:strCache>
            </c:strRef>
          </c:tx>
          <c:spPr>
            <a:solidFill>
              <a:srgbClr val="D60093"/>
            </a:solidFill>
            <a:ln w="3175">
              <a:solidFill>
                <a:schemeClr val="tx1"/>
              </a:solidFill>
            </a:ln>
            <a:effectLst/>
          </c:spPr>
          <c:invertIfNegative val="0"/>
          <c:dPt>
            <c:idx val="0"/>
            <c:invertIfNegative val="0"/>
            <c:bubble3D val="0"/>
            <c:spPr>
              <a:solidFill>
                <a:srgbClr val="D60093"/>
              </a:solidFill>
              <a:ln w="3175">
                <a:solidFill>
                  <a:schemeClr val="tx1"/>
                </a:solidFill>
              </a:ln>
              <a:effectLst/>
            </c:spPr>
            <c:extLst>
              <c:ext xmlns:c16="http://schemas.microsoft.com/office/drawing/2014/chart" uri="{C3380CC4-5D6E-409C-BE32-E72D297353CC}">
                <c16:uniqueId val="{00000009-4929-4FB6-8792-FDF06B5EA95A}"/>
              </c:ext>
            </c:extLst>
          </c:dPt>
          <c:dPt>
            <c:idx val="1"/>
            <c:invertIfNegative val="0"/>
            <c:bubble3D val="0"/>
            <c:spPr>
              <a:solidFill>
                <a:srgbClr val="D60093"/>
              </a:solidFill>
              <a:ln w="3175">
                <a:solidFill>
                  <a:schemeClr val="tx1"/>
                </a:solidFill>
              </a:ln>
              <a:effectLst/>
            </c:spPr>
            <c:extLst>
              <c:ext xmlns:c16="http://schemas.microsoft.com/office/drawing/2014/chart" uri="{C3380CC4-5D6E-409C-BE32-E72D297353CC}">
                <c16:uniqueId val="{0000000B-4929-4FB6-8792-FDF06B5EA95A}"/>
              </c:ext>
            </c:extLst>
          </c:dPt>
          <c:cat>
            <c:strRef>
              <c:f>Calcule!$AM$16:$AN$16</c:f>
              <c:strCache>
                <c:ptCount val="2"/>
                <c:pt idx="0">
                  <c:v>Produits ovins</c:v>
                </c:pt>
                <c:pt idx="1">
                  <c:v>Charges ovines</c:v>
                </c:pt>
              </c:strCache>
            </c:strRef>
          </c:cat>
          <c:val>
            <c:numRef>
              <c:f>Calcule!$AM$13:$AN$13</c:f>
              <c:numCache>
                <c:formatCode>#\ ##0\ "€"</c:formatCode>
                <c:ptCount val="2"/>
                <c:pt idx="1">
                  <c:v>0</c:v>
                </c:pt>
              </c:numCache>
            </c:numRef>
          </c:val>
          <c:extLst>
            <c:ext xmlns:c16="http://schemas.microsoft.com/office/drawing/2014/chart" uri="{C3380CC4-5D6E-409C-BE32-E72D297353CC}">
              <c16:uniqueId val="{0000000C-4929-4FB6-8792-FDF06B5EA95A}"/>
            </c:ext>
          </c:extLst>
        </c:ser>
        <c:ser>
          <c:idx val="7"/>
          <c:order val="5"/>
          <c:tx>
            <c:strRef>
              <c:f>Calcule!$AO$14</c:f>
              <c:strCache>
                <c:ptCount val="1"/>
                <c:pt idx="0">
                  <c:v>Frais de commercialisation</c:v>
                </c:pt>
              </c:strCache>
            </c:strRef>
          </c:tx>
          <c:spPr>
            <a:solidFill>
              <a:schemeClr val="accent1"/>
            </a:solidFill>
            <a:ln w="3175">
              <a:solidFill>
                <a:schemeClr val="tx1"/>
              </a:solidFill>
            </a:ln>
            <a:effectLst/>
          </c:spPr>
          <c:invertIfNegative val="0"/>
          <c:dPt>
            <c:idx val="0"/>
            <c:invertIfNegative val="0"/>
            <c:bubble3D val="0"/>
            <c:spPr>
              <a:solidFill>
                <a:srgbClr val="009999"/>
              </a:solidFill>
              <a:ln w="3175">
                <a:solidFill>
                  <a:schemeClr val="tx1"/>
                </a:solidFill>
              </a:ln>
              <a:effectLst/>
            </c:spPr>
            <c:extLst>
              <c:ext xmlns:c16="http://schemas.microsoft.com/office/drawing/2014/chart" uri="{C3380CC4-5D6E-409C-BE32-E72D297353CC}">
                <c16:uniqueId val="{0000000E-4929-4FB6-8792-FDF06B5EA95A}"/>
              </c:ext>
            </c:extLst>
          </c:dPt>
          <c:dPt>
            <c:idx val="1"/>
            <c:invertIfNegative val="0"/>
            <c:bubble3D val="0"/>
            <c:spPr>
              <a:solidFill>
                <a:srgbClr val="FF66CC"/>
              </a:solidFill>
              <a:ln w="3175">
                <a:solidFill>
                  <a:schemeClr val="tx1"/>
                </a:solidFill>
              </a:ln>
              <a:effectLst/>
            </c:spPr>
            <c:extLst>
              <c:ext xmlns:c16="http://schemas.microsoft.com/office/drawing/2014/chart" uri="{C3380CC4-5D6E-409C-BE32-E72D297353CC}">
                <c16:uniqueId val="{00000010-4929-4FB6-8792-FDF06B5EA95A}"/>
              </c:ext>
            </c:extLst>
          </c:dPt>
          <c:cat>
            <c:strRef>
              <c:f>Calcule!$AM$16:$AN$16</c:f>
              <c:strCache>
                <c:ptCount val="2"/>
                <c:pt idx="0">
                  <c:v>Produits ovins</c:v>
                </c:pt>
                <c:pt idx="1">
                  <c:v>Charges ovines</c:v>
                </c:pt>
              </c:strCache>
            </c:strRef>
          </c:cat>
          <c:val>
            <c:numRef>
              <c:f>Calcule!$AM$14:$AN$14</c:f>
              <c:numCache>
                <c:formatCode>#\ ##0\ "€"</c:formatCode>
                <c:ptCount val="2"/>
                <c:pt idx="1">
                  <c:v>0</c:v>
                </c:pt>
              </c:numCache>
            </c:numRef>
          </c:val>
          <c:extLst>
            <c:ext xmlns:c16="http://schemas.microsoft.com/office/drawing/2014/chart" uri="{C3380CC4-5D6E-409C-BE32-E72D297353CC}">
              <c16:uniqueId val="{00000011-4929-4FB6-8792-FDF06B5EA95A}"/>
            </c:ext>
          </c:extLst>
        </c:ser>
        <c:ser>
          <c:idx val="8"/>
          <c:order val="6"/>
          <c:tx>
            <c:strRef>
              <c:f>Calcule!$AO$15</c:f>
              <c:strCache>
                <c:ptCount val="1"/>
                <c:pt idx="0">
                  <c:v>Frais SFP</c:v>
                </c:pt>
              </c:strCache>
            </c:strRef>
          </c:tx>
          <c:spPr>
            <a:solidFill>
              <a:schemeClr val="accent4"/>
            </a:solidFill>
            <a:ln w="3175">
              <a:solidFill>
                <a:schemeClr val="tx1"/>
              </a:solidFill>
            </a:ln>
            <a:effectLst/>
          </c:spPr>
          <c:invertIfNegative val="0"/>
          <c:dPt>
            <c:idx val="0"/>
            <c:invertIfNegative val="0"/>
            <c:bubble3D val="0"/>
            <c:spPr>
              <a:solidFill>
                <a:srgbClr val="006699"/>
              </a:solidFill>
              <a:ln w="3175">
                <a:solidFill>
                  <a:schemeClr val="tx1"/>
                </a:solidFill>
              </a:ln>
              <a:effectLst/>
            </c:spPr>
            <c:extLst>
              <c:ext xmlns:c16="http://schemas.microsoft.com/office/drawing/2014/chart" uri="{C3380CC4-5D6E-409C-BE32-E72D297353CC}">
                <c16:uniqueId val="{00000013-4929-4FB6-8792-FDF06B5EA95A}"/>
              </c:ext>
            </c:extLst>
          </c:dPt>
          <c:dPt>
            <c:idx val="1"/>
            <c:invertIfNegative val="0"/>
            <c:bubble3D val="0"/>
            <c:spPr>
              <a:solidFill>
                <a:srgbClr val="FFCCFF"/>
              </a:solidFill>
              <a:ln w="3175">
                <a:solidFill>
                  <a:schemeClr val="tx1"/>
                </a:solidFill>
              </a:ln>
              <a:effectLst/>
            </c:spPr>
            <c:extLst>
              <c:ext xmlns:c16="http://schemas.microsoft.com/office/drawing/2014/chart" uri="{C3380CC4-5D6E-409C-BE32-E72D297353CC}">
                <c16:uniqueId val="{00000015-4929-4FB6-8792-FDF06B5EA95A}"/>
              </c:ext>
            </c:extLst>
          </c:dPt>
          <c:val>
            <c:numRef>
              <c:f>Calcule!$AM$15:$AN$15</c:f>
              <c:numCache>
                <c:formatCode>#\ ##0\ "€"</c:formatCode>
                <c:ptCount val="2"/>
                <c:pt idx="1">
                  <c:v>0</c:v>
                </c:pt>
              </c:numCache>
            </c:numRef>
          </c:val>
          <c:extLst>
            <c:ext xmlns:c16="http://schemas.microsoft.com/office/drawing/2014/chart" uri="{C3380CC4-5D6E-409C-BE32-E72D297353CC}">
              <c16:uniqueId val="{00000016-4929-4FB6-8792-FDF06B5EA95A}"/>
            </c:ext>
          </c:extLst>
        </c:ser>
        <c:ser>
          <c:idx val="0"/>
          <c:order val="7"/>
          <c:tx>
            <c:strRef>
              <c:f>Calcule!$AO$8</c:f>
              <c:strCache>
                <c:ptCount val="1"/>
                <c:pt idx="0">
                  <c:v>Marge brute</c:v>
                </c:pt>
              </c:strCache>
            </c:strRef>
          </c:tx>
          <c:spPr>
            <a:solidFill>
              <a:srgbClr val="00B050"/>
            </a:solidFill>
            <a:ln w="3175">
              <a:solidFill>
                <a:schemeClr val="tx1"/>
              </a:solidFill>
            </a:ln>
            <a:effectLst/>
          </c:spPr>
          <c:invertIfNegative val="0"/>
          <c:dPt>
            <c:idx val="1"/>
            <c:invertIfNegative val="0"/>
            <c:bubble3D val="0"/>
            <c:spPr>
              <a:solidFill>
                <a:srgbClr val="00B050"/>
              </a:solidFill>
              <a:ln w="3175">
                <a:solidFill>
                  <a:schemeClr val="tx1"/>
                </a:solidFill>
              </a:ln>
              <a:effectLst/>
            </c:spPr>
            <c:extLst>
              <c:ext xmlns:c16="http://schemas.microsoft.com/office/drawing/2014/chart" uri="{C3380CC4-5D6E-409C-BE32-E72D297353CC}">
                <c16:uniqueId val="{00000018-4929-4FB6-8792-FDF06B5EA95A}"/>
              </c:ext>
            </c:extLst>
          </c:dPt>
          <c:cat>
            <c:strRef>
              <c:f>Calcule!$AM$16:$AN$16</c:f>
              <c:strCache>
                <c:ptCount val="2"/>
                <c:pt idx="0">
                  <c:v>Produits ovins</c:v>
                </c:pt>
                <c:pt idx="1">
                  <c:v>Charges ovines</c:v>
                </c:pt>
              </c:strCache>
            </c:strRef>
          </c:cat>
          <c:val>
            <c:numRef>
              <c:f>Calcule!$AM$8:$AN$8</c:f>
              <c:numCache>
                <c:formatCode>#\ ##0\ "€"</c:formatCode>
                <c:ptCount val="2"/>
                <c:pt idx="1">
                  <c:v>0</c:v>
                </c:pt>
              </c:numCache>
            </c:numRef>
          </c:val>
          <c:extLst>
            <c:ext xmlns:c16="http://schemas.microsoft.com/office/drawing/2014/chart" uri="{C3380CC4-5D6E-409C-BE32-E72D297353CC}">
              <c16:uniqueId val="{00000019-4929-4FB6-8792-FDF06B5EA95A}"/>
            </c:ext>
          </c:extLst>
        </c:ser>
        <c:ser>
          <c:idx val="9"/>
          <c:order val="8"/>
          <c:tx>
            <c:strRef>
              <c:f>Calcule!$AL$4</c:f>
              <c:strCache>
                <c:ptCount val="1"/>
                <c:pt idx="0">
                  <c:v>Produit viande</c:v>
                </c:pt>
              </c:strCache>
            </c:strRef>
          </c:tx>
          <c:spPr>
            <a:solidFill>
              <a:srgbClr val="66FFFF"/>
            </a:solidFill>
            <a:ln w="3175">
              <a:solidFill>
                <a:schemeClr val="tx1"/>
              </a:solidFill>
            </a:ln>
            <a:effectLst/>
          </c:spPr>
          <c:invertIfNegative val="0"/>
          <c:val>
            <c:numRef>
              <c:f>Calcule!$AM$4:$AN$4</c:f>
              <c:numCache>
                <c:formatCode>#\ ##0\ "€"</c:formatCode>
                <c:ptCount val="2"/>
                <c:pt idx="0">
                  <c:v>0</c:v>
                </c:pt>
              </c:numCache>
            </c:numRef>
          </c:val>
          <c:extLst>
            <c:ext xmlns:c16="http://schemas.microsoft.com/office/drawing/2014/chart" uri="{C3380CC4-5D6E-409C-BE32-E72D297353CC}">
              <c16:uniqueId val="{0000001A-4929-4FB6-8792-FDF06B5EA95A}"/>
            </c:ext>
          </c:extLst>
        </c:ser>
        <c:ser>
          <c:idx val="10"/>
          <c:order val="9"/>
          <c:tx>
            <c:strRef>
              <c:f>Calcule!$AL$5</c:f>
              <c:strCache>
                <c:ptCount val="1"/>
                <c:pt idx="0">
                  <c:v>Fourrage</c:v>
                </c:pt>
              </c:strCache>
            </c:strRef>
          </c:tx>
          <c:spPr>
            <a:solidFill>
              <a:srgbClr val="66FF99"/>
            </a:solidFill>
            <a:ln w="3175">
              <a:solidFill>
                <a:schemeClr val="tx1"/>
              </a:solidFill>
            </a:ln>
            <a:effectLst/>
          </c:spPr>
          <c:invertIfNegative val="0"/>
          <c:val>
            <c:numRef>
              <c:f>Calcule!$AM$5:$AN$5</c:f>
              <c:numCache>
                <c:formatCode>#\ ##0\ "€"</c:formatCode>
                <c:ptCount val="2"/>
                <c:pt idx="0">
                  <c:v>0</c:v>
                </c:pt>
              </c:numCache>
            </c:numRef>
          </c:val>
          <c:extLst>
            <c:ext xmlns:c16="http://schemas.microsoft.com/office/drawing/2014/chart" uri="{C3380CC4-5D6E-409C-BE32-E72D297353CC}">
              <c16:uniqueId val="{0000001B-4929-4FB6-8792-FDF06B5EA95A}"/>
            </c:ext>
          </c:extLst>
        </c:ser>
        <c:ser>
          <c:idx val="11"/>
          <c:order val="10"/>
          <c:tx>
            <c:strRef>
              <c:f>Calcule!$AL$6</c:f>
              <c:strCache>
                <c:ptCount val="1"/>
                <c:pt idx="0">
                  <c:v>Autre produit ovin</c:v>
                </c:pt>
              </c:strCache>
            </c:strRef>
          </c:tx>
          <c:spPr>
            <a:solidFill>
              <a:schemeClr val="accent6">
                <a:lumMod val="60000"/>
              </a:schemeClr>
            </a:solidFill>
            <a:ln w="3175">
              <a:solidFill>
                <a:schemeClr val="tx1"/>
              </a:solidFill>
            </a:ln>
            <a:effectLst/>
          </c:spPr>
          <c:invertIfNegative val="0"/>
          <c:dPt>
            <c:idx val="0"/>
            <c:invertIfNegative val="0"/>
            <c:bubble3D val="0"/>
            <c:spPr>
              <a:solidFill>
                <a:srgbClr val="009999"/>
              </a:solidFill>
              <a:ln w="3175">
                <a:solidFill>
                  <a:schemeClr val="tx1"/>
                </a:solidFill>
              </a:ln>
              <a:effectLst/>
            </c:spPr>
            <c:extLst>
              <c:ext xmlns:c16="http://schemas.microsoft.com/office/drawing/2014/chart" uri="{C3380CC4-5D6E-409C-BE32-E72D297353CC}">
                <c16:uniqueId val="{0000001D-4929-4FB6-8792-FDF06B5EA95A}"/>
              </c:ext>
            </c:extLst>
          </c:dPt>
          <c:val>
            <c:numRef>
              <c:f>Calcule!$AM$6:$AN$6</c:f>
              <c:numCache>
                <c:formatCode>#\ ##0\ "€"</c:formatCode>
                <c:ptCount val="2"/>
                <c:pt idx="0">
                  <c:v>0</c:v>
                </c:pt>
              </c:numCache>
            </c:numRef>
          </c:val>
          <c:extLst>
            <c:ext xmlns:c16="http://schemas.microsoft.com/office/drawing/2014/chart" uri="{C3380CC4-5D6E-409C-BE32-E72D297353CC}">
              <c16:uniqueId val="{0000001E-4929-4FB6-8792-FDF06B5EA95A}"/>
            </c:ext>
          </c:extLst>
        </c:ser>
        <c:ser>
          <c:idx val="12"/>
          <c:order val="11"/>
          <c:tx>
            <c:strRef>
              <c:f>Calcule!$AL$7</c:f>
              <c:strCache>
                <c:ptCount val="1"/>
                <c:pt idx="0">
                  <c:v>Aides couplées</c:v>
                </c:pt>
              </c:strCache>
            </c:strRef>
          </c:tx>
          <c:spPr>
            <a:solidFill>
              <a:srgbClr val="006699"/>
            </a:solidFill>
            <a:ln w="3175">
              <a:solidFill>
                <a:schemeClr val="tx1"/>
              </a:solidFill>
            </a:ln>
            <a:effectLst/>
          </c:spPr>
          <c:invertIfNegative val="0"/>
          <c:val>
            <c:numRef>
              <c:f>Calcule!$AM$7:$AN$7</c:f>
              <c:numCache>
                <c:formatCode>#\ ##0\ "€"</c:formatCode>
                <c:ptCount val="2"/>
                <c:pt idx="0">
                  <c:v>0</c:v>
                </c:pt>
              </c:numCache>
            </c:numRef>
          </c:val>
          <c:extLst>
            <c:ext xmlns:c16="http://schemas.microsoft.com/office/drawing/2014/chart" uri="{C3380CC4-5D6E-409C-BE32-E72D297353CC}">
              <c16:uniqueId val="{0000001F-4929-4FB6-8792-FDF06B5EA95A}"/>
            </c:ext>
          </c:extLst>
        </c:ser>
        <c:dLbls>
          <c:showLegendKey val="0"/>
          <c:showVal val="0"/>
          <c:showCatName val="0"/>
          <c:showSerName val="0"/>
          <c:showPercent val="0"/>
          <c:showBubbleSize val="0"/>
        </c:dLbls>
        <c:gapWidth val="150"/>
        <c:overlap val="100"/>
        <c:axId val="327264704"/>
        <c:axId val="327265088"/>
      </c:barChart>
      <c:catAx>
        <c:axId val="327264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27265088"/>
        <c:crosses val="autoZero"/>
        <c:auto val="1"/>
        <c:lblAlgn val="ctr"/>
        <c:lblOffset val="100"/>
        <c:noMultiLvlLbl val="0"/>
      </c:catAx>
      <c:valAx>
        <c:axId val="327265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€/EMP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 ##0\ &quot;€&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272647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287072989481289E-2"/>
          <c:y val="2.3067683163917125E-2"/>
          <c:w val="0.93571292701051867"/>
          <c:h val="0.92986018267686166"/>
        </c:manualLayout>
      </c:layout>
      <c:barChart>
        <c:barDir val="col"/>
        <c:grouping val="stacked"/>
        <c:varyColors val="0"/>
        <c:ser>
          <c:idx val="0"/>
          <c:order val="0"/>
          <c:tx>
            <c:strRef>
              <c:f>Calcule!$AL$41</c:f>
              <c:strCache>
                <c:ptCount val="1"/>
                <c:pt idx="0">
                  <c:v>Margre brute ovine</c:v>
                </c:pt>
              </c:strCache>
            </c:strRef>
          </c:tx>
          <c:spPr>
            <a:solidFill>
              <a:srgbClr val="00B050"/>
            </a:solidFill>
            <a:ln w="3175">
              <a:solidFill>
                <a:schemeClr val="tx1"/>
              </a:solidFill>
            </a:ln>
            <a:effectLst/>
          </c:spPr>
          <c:invertIfNegative val="0"/>
          <c:dPt>
            <c:idx val="0"/>
            <c:invertIfNegative val="0"/>
            <c:bubble3D val="0"/>
            <c:spPr>
              <a:solidFill>
                <a:srgbClr val="00B050"/>
              </a:solidFill>
              <a:ln w="3175">
                <a:solidFill>
                  <a:schemeClr val="tx1"/>
                </a:solidFill>
              </a:ln>
              <a:effectLst/>
            </c:spPr>
            <c:extLst>
              <c:ext xmlns:c16="http://schemas.microsoft.com/office/drawing/2014/chart" uri="{C3380CC4-5D6E-409C-BE32-E72D297353CC}">
                <c16:uniqueId val="{00000001-4DF4-4796-8904-D729D09DDA0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Calcule!$AM$41:$AN$41</c:f>
              <c:numCache>
                <c:formatCode>#\ ##0\ "€"</c:formatCode>
                <c:ptCount val="2"/>
                <c:pt idx="0">
                  <c:v>0</c:v>
                </c:pt>
              </c:numCache>
            </c:numRef>
          </c:val>
          <c:extLst>
            <c:ext xmlns:c16="http://schemas.microsoft.com/office/drawing/2014/chart" uri="{C3380CC4-5D6E-409C-BE32-E72D297353CC}">
              <c16:uniqueId val="{00000002-4DF4-4796-8904-D729D09DDA02}"/>
            </c:ext>
          </c:extLst>
        </c:ser>
        <c:ser>
          <c:idx val="1"/>
          <c:order val="1"/>
          <c:tx>
            <c:strRef>
              <c:f>Calcule!$AL$42</c:f>
              <c:strCache>
                <c:ptCount val="1"/>
                <c:pt idx="0">
                  <c:v>Marge brute autre activité</c:v>
                </c:pt>
              </c:strCache>
            </c:strRef>
          </c:tx>
          <c:spPr>
            <a:solidFill>
              <a:srgbClr val="66FF99"/>
            </a:solidFill>
            <a:ln w="3175">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Calcule!$AM$42:$AN$42</c:f>
              <c:numCache>
                <c:formatCode>#\ ##0\ "€"</c:formatCode>
                <c:ptCount val="2"/>
                <c:pt idx="0">
                  <c:v>0</c:v>
                </c:pt>
              </c:numCache>
            </c:numRef>
          </c:val>
          <c:extLst>
            <c:ext xmlns:c16="http://schemas.microsoft.com/office/drawing/2014/chart" uri="{C3380CC4-5D6E-409C-BE32-E72D297353CC}">
              <c16:uniqueId val="{00000003-4DF4-4796-8904-D729D09DDA02}"/>
            </c:ext>
          </c:extLst>
        </c:ser>
        <c:ser>
          <c:idx val="2"/>
          <c:order val="2"/>
          <c:tx>
            <c:strRef>
              <c:f>Calcule!$AL$43</c:f>
              <c:strCache>
                <c:ptCount val="1"/>
                <c:pt idx="0">
                  <c:v>Aides</c:v>
                </c:pt>
              </c:strCache>
            </c:strRef>
          </c:tx>
          <c:spPr>
            <a:solidFill>
              <a:srgbClr val="99FF99"/>
            </a:solidFill>
            <a:ln w="3175">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Calcule!$AM$43:$AN$43</c:f>
              <c:numCache>
                <c:formatCode>#\ ##0\ "€"</c:formatCode>
                <c:ptCount val="2"/>
                <c:pt idx="0">
                  <c:v>0</c:v>
                </c:pt>
              </c:numCache>
            </c:numRef>
          </c:val>
          <c:extLst>
            <c:ext xmlns:c16="http://schemas.microsoft.com/office/drawing/2014/chart" uri="{C3380CC4-5D6E-409C-BE32-E72D297353CC}">
              <c16:uniqueId val="{00000004-4DF4-4796-8904-D729D09DDA02}"/>
            </c:ext>
          </c:extLst>
        </c:ser>
        <c:ser>
          <c:idx val="3"/>
          <c:order val="3"/>
          <c:tx>
            <c:strRef>
              <c:f>Calcule!$AO$44</c:f>
              <c:strCache>
                <c:ptCount val="1"/>
                <c:pt idx="0">
                  <c:v>Charge de structure</c:v>
                </c:pt>
              </c:strCache>
            </c:strRef>
          </c:tx>
          <c:spPr>
            <a:solidFill>
              <a:srgbClr val="FF6600"/>
            </a:solidFill>
            <a:ln w="3175">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Calcule!$AM$44:$AN$44</c:f>
              <c:numCache>
                <c:formatCode>#\ ##0\ "€"</c:formatCode>
                <c:ptCount val="2"/>
                <c:pt idx="1">
                  <c:v>0</c:v>
                </c:pt>
              </c:numCache>
            </c:numRef>
          </c:val>
          <c:extLst>
            <c:ext xmlns:c16="http://schemas.microsoft.com/office/drawing/2014/chart" uri="{C3380CC4-5D6E-409C-BE32-E72D297353CC}">
              <c16:uniqueId val="{00000005-4DF4-4796-8904-D729D09DDA02}"/>
            </c:ext>
          </c:extLst>
        </c:ser>
        <c:ser>
          <c:idx val="4"/>
          <c:order val="4"/>
          <c:tx>
            <c:strRef>
              <c:f>Calcule!$AO$45</c:f>
              <c:strCache>
                <c:ptCount val="1"/>
                <c:pt idx="0">
                  <c:v>Charges financières</c:v>
                </c:pt>
              </c:strCache>
            </c:strRef>
          </c:tx>
          <c:spPr>
            <a:solidFill>
              <a:srgbClr val="FF9966"/>
            </a:solidFill>
            <a:ln w="3175">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Calcule!$AM$45:$AN$45</c:f>
              <c:numCache>
                <c:formatCode>#\ ##0\ "€"</c:formatCode>
                <c:ptCount val="2"/>
                <c:pt idx="1">
                  <c:v>0</c:v>
                </c:pt>
              </c:numCache>
            </c:numRef>
          </c:val>
          <c:extLst>
            <c:ext xmlns:c16="http://schemas.microsoft.com/office/drawing/2014/chart" uri="{C3380CC4-5D6E-409C-BE32-E72D297353CC}">
              <c16:uniqueId val="{00000006-4DF4-4796-8904-D729D09DDA02}"/>
            </c:ext>
          </c:extLst>
        </c:ser>
        <c:ser>
          <c:idx val="5"/>
          <c:order val="5"/>
          <c:tx>
            <c:strRef>
              <c:f>Calcule!$AO$46</c:f>
              <c:strCache>
                <c:ptCount val="1"/>
                <c:pt idx="0">
                  <c:v>Ammortissements</c:v>
                </c:pt>
              </c:strCache>
            </c:strRef>
          </c:tx>
          <c:spPr>
            <a:solidFill>
              <a:srgbClr val="FFCC99"/>
            </a:solidFill>
            <a:ln w="3175">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Calcule!$AM$46:$AN$46</c:f>
              <c:numCache>
                <c:formatCode>#\ ##0\ "€"</c:formatCode>
                <c:ptCount val="2"/>
                <c:pt idx="1">
                  <c:v>0</c:v>
                </c:pt>
              </c:numCache>
            </c:numRef>
          </c:val>
          <c:extLst>
            <c:ext xmlns:c16="http://schemas.microsoft.com/office/drawing/2014/chart" uri="{C3380CC4-5D6E-409C-BE32-E72D297353CC}">
              <c16:uniqueId val="{00000007-4DF4-4796-8904-D729D09DDA02}"/>
            </c:ext>
          </c:extLst>
        </c:ser>
        <c:ser>
          <c:idx val="6"/>
          <c:order val="6"/>
          <c:tx>
            <c:strRef>
              <c:f>Calcule!$AO$47</c:f>
              <c:strCache>
                <c:ptCount val="1"/>
                <c:pt idx="0">
                  <c:v>Résultat courant</c:v>
                </c:pt>
              </c:strCache>
            </c:strRef>
          </c:tx>
          <c:spPr>
            <a:solidFill>
              <a:schemeClr val="tx2">
                <a:lumMod val="60000"/>
                <a:lumOff val="40000"/>
              </a:schemeClr>
            </a:solidFill>
            <a:ln w="3175">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Calcule!$AM$47:$AN$47</c:f>
              <c:numCache>
                <c:formatCode>#\ ##0\ "€"</c:formatCode>
                <c:ptCount val="2"/>
                <c:pt idx="1">
                  <c:v>0</c:v>
                </c:pt>
              </c:numCache>
            </c:numRef>
          </c:val>
          <c:extLst>
            <c:ext xmlns:c16="http://schemas.microsoft.com/office/drawing/2014/chart" uri="{C3380CC4-5D6E-409C-BE32-E72D297353CC}">
              <c16:uniqueId val="{00000008-4DF4-4796-8904-D729D09DDA02}"/>
            </c:ext>
          </c:extLst>
        </c:ser>
        <c:dLbls>
          <c:dLblPos val="ctr"/>
          <c:showLegendKey val="0"/>
          <c:showVal val="1"/>
          <c:showCatName val="0"/>
          <c:showSerName val="0"/>
          <c:showPercent val="0"/>
          <c:showBubbleSize val="0"/>
        </c:dLbls>
        <c:gapWidth val="150"/>
        <c:overlap val="100"/>
        <c:axId val="327305936"/>
        <c:axId val="327300600"/>
      </c:barChart>
      <c:catAx>
        <c:axId val="327305936"/>
        <c:scaling>
          <c:orientation val="minMax"/>
        </c:scaling>
        <c:delete val="1"/>
        <c:axPos val="b"/>
        <c:numFmt formatCode="General" sourceLinked="1"/>
        <c:majorTickMark val="none"/>
        <c:minorTickMark val="none"/>
        <c:tickLblPos val="nextTo"/>
        <c:crossAx val="327300600"/>
        <c:crosses val="autoZero"/>
        <c:auto val="1"/>
        <c:lblAlgn val="ctr"/>
        <c:lblOffset val="100"/>
        <c:noMultiLvlLbl val="0"/>
      </c:catAx>
      <c:valAx>
        <c:axId val="327300600"/>
        <c:scaling>
          <c:orientation val="minMax"/>
        </c:scaling>
        <c:delete val="0"/>
        <c:axPos val="l"/>
        <c:majorGridlines>
          <c:spPr>
            <a:ln w="9525" cap="flat" cmpd="sng" algn="ctr">
              <a:solidFill>
                <a:schemeClr val="tx1">
                  <a:lumMod val="15000"/>
                  <a:lumOff val="85000"/>
                </a:schemeClr>
              </a:solidFill>
              <a:round/>
            </a:ln>
            <a:effectLst/>
          </c:spPr>
        </c:majorGridlines>
        <c:numFmt formatCode="#,##0\ &quot;€&quot;"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273059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400" b="0" i="0" u="none" strike="noStrike" kern="1200" spc="0" baseline="0">
                <a:solidFill>
                  <a:sysClr val="windowText" lastClr="000000">
                    <a:lumMod val="65000"/>
                    <a:lumOff val="35000"/>
                  </a:sysClr>
                </a:solidFill>
              </a:rPr>
              <a:t>Répartition par agnelage des types d'agneaux produits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stacked"/>
        <c:varyColors val="0"/>
        <c:ser>
          <c:idx val="0"/>
          <c:order val="0"/>
          <c:tx>
            <c:strRef>
              <c:f>Calcule!$AL$52</c:f>
              <c:strCache>
                <c:ptCount val="1"/>
                <c:pt idx="0">
                  <c:v>Lourd label</c:v>
                </c:pt>
              </c:strCache>
            </c:strRef>
          </c:tx>
          <c:spPr>
            <a:solidFill>
              <a:srgbClr val="FFC000"/>
            </a:solidFill>
            <a:ln>
              <a:solidFill>
                <a:sysClr val="windowText" lastClr="000000"/>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Calcule!$AM$52:$AP$52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2-8014-4C7B-AD32-1EE4F374AC2A}"/>
            </c:ext>
          </c:extLst>
        </c:ser>
        <c:ser>
          <c:idx val="1"/>
          <c:order val="1"/>
          <c:tx>
            <c:strRef>
              <c:f>Calcule!$AL$53</c:f>
              <c:strCache>
                <c:ptCount val="1"/>
                <c:pt idx="0">
                  <c:v>Lourd adret</c:v>
                </c:pt>
              </c:strCache>
            </c:strRef>
          </c:tx>
          <c:spPr>
            <a:solidFill>
              <a:srgbClr val="FF0000"/>
            </a:solidFill>
            <a:ln>
              <a:solidFill>
                <a:sysClr val="windowText" lastClr="000000"/>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Calcule!$AM$53:$AP$53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4-8014-4C7B-AD32-1EE4F374AC2A}"/>
            </c:ext>
          </c:extLst>
        </c:ser>
        <c:ser>
          <c:idx val="2"/>
          <c:order val="2"/>
          <c:tx>
            <c:strRef>
              <c:f>Calcule!$AL$54</c:f>
              <c:strCache>
                <c:ptCount val="1"/>
                <c:pt idx="0">
                  <c:v>Lourd standard</c:v>
                </c:pt>
              </c:strCache>
            </c:strRef>
          </c:tx>
          <c:spPr>
            <a:solidFill>
              <a:srgbClr val="0070C0"/>
            </a:solidFill>
            <a:ln>
              <a:solidFill>
                <a:schemeClr val="tx1"/>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Calcule!$AM$54:$AP$54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6-8014-4C7B-AD32-1EE4F374AC2A}"/>
            </c:ext>
          </c:extLst>
        </c:ser>
        <c:ser>
          <c:idx val="3"/>
          <c:order val="3"/>
          <c:tx>
            <c:strRef>
              <c:f>Calcule!$AL$55</c:f>
              <c:strCache>
                <c:ptCount val="1"/>
                <c:pt idx="0">
                  <c:v>Lourd bio</c:v>
                </c:pt>
              </c:strCache>
            </c:strRef>
          </c:tx>
          <c:spPr>
            <a:solidFill>
              <a:srgbClr val="00B050"/>
            </a:solidFill>
            <a:ln>
              <a:solidFill>
                <a:schemeClr val="tx1"/>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Calcule!$AM$55:$AP$55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8014-4C7B-AD32-1EE4F374AC2A}"/>
            </c:ext>
          </c:extLst>
        </c:ser>
        <c:ser>
          <c:idx val="4"/>
          <c:order val="4"/>
          <c:tx>
            <c:strRef>
              <c:f>Calcule!$AL$56</c:f>
              <c:strCache>
                <c:ptCount val="1"/>
                <c:pt idx="0">
                  <c:v>Léger</c:v>
                </c:pt>
              </c:strCache>
            </c:strRef>
          </c:tx>
          <c:spPr>
            <a:solidFill>
              <a:schemeClr val="accent5">
                <a:lumMod val="40000"/>
                <a:lumOff val="60000"/>
              </a:schemeClr>
            </a:solidFill>
            <a:ln>
              <a:solidFill>
                <a:sysClr val="windowText" lastClr="000000"/>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Calcule!$AM$56:$AP$56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6AA-4079-917D-D8528C382543}"/>
            </c:ext>
          </c:extLst>
        </c:ser>
        <c:ser>
          <c:idx val="5"/>
          <c:order val="5"/>
          <c:tx>
            <c:strRef>
              <c:f>Calcule!$AL$57</c:f>
              <c:strCache>
                <c:ptCount val="1"/>
                <c:pt idx="0">
                  <c:v>Maigre</c:v>
                </c:pt>
              </c:strCache>
            </c:strRef>
          </c:tx>
          <c:spPr>
            <a:solidFill>
              <a:schemeClr val="accent2">
                <a:lumMod val="40000"/>
                <a:lumOff val="60000"/>
              </a:schemeClr>
            </a:solidFill>
            <a:ln>
              <a:solidFill>
                <a:sysClr val="windowText" lastClr="000000"/>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Calcule!$AM$57:$AP$57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86AA-4079-917D-D8528C382543}"/>
            </c:ext>
          </c:extLst>
        </c:ser>
        <c:ser>
          <c:idx val="10"/>
          <c:order val="6"/>
          <c:tx>
            <c:strRef>
              <c:f>Calcule!$AL$58</c:f>
              <c:strCache>
                <c:ptCount val="1"/>
                <c:pt idx="0">
                  <c:v>Tardon</c:v>
                </c:pt>
              </c:strCache>
            </c:strRef>
          </c:tx>
          <c:spPr>
            <a:solidFill>
              <a:schemeClr val="accent3">
                <a:lumMod val="40000"/>
                <a:lumOff val="60000"/>
              </a:schemeClr>
            </a:solidFill>
            <a:ln>
              <a:solidFill>
                <a:sysClr val="windowText" lastClr="000000"/>
              </a:solidFill>
            </a:ln>
            <a:effectLst/>
          </c:spPr>
          <c:invertIfNegative val="0"/>
          <c:val>
            <c:numRef>
              <c:f>Calcule!$AM$58:$AR$58</c:f>
              <c:numCache>
                <c:formatCode>General</c:formatCode>
                <c:ptCount val="6"/>
                <c:pt idx="0">
                  <c:v>0</c:v>
                </c:pt>
                <c:pt idx="1">
                  <c:v>0</c:v>
                </c:pt>
                <c:pt idx="2">
                  <c:v>0</c:v>
                </c:pt>
                <c:pt idx="3">
                  <c:v>0</c:v>
                </c:pt>
                <c:pt idx="4">
                  <c:v>0</c:v>
                </c:pt>
              </c:numCache>
            </c:numRef>
          </c:val>
          <c:extLst>
            <c:ext xmlns:c16="http://schemas.microsoft.com/office/drawing/2014/chart" uri="{C3380CC4-5D6E-409C-BE32-E72D297353CC}">
              <c16:uniqueId val="{00000000-0B60-4D69-9585-D4A49DDEA2BB}"/>
            </c:ext>
          </c:extLst>
        </c:ser>
        <c:ser>
          <c:idx val="6"/>
          <c:order val="7"/>
          <c:tx>
            <c:strRef>
              <c:f>Calcule!$AL$59</c:f>
              <c:strCache>
                <c:ptCount val="1"/>
                <c:pt idx="0">
                  <c:v>Jeune repro.</c:v>
                </c:pt>
              </c:strCache>
            </c:strRef>
          </c:tx>
          <c:spPr>
            <a:solidFill>
              <a:srgbClr val="7030A0"/>
            </a:solidFill>
            <a:ln>
              <a:solidFill>
                <a:sysClr val="windowText" lastClr="000000"/>
              </a:solidFill>
            </a:ln>
            <a:effectLst/>
          </c:spPr>
          <c:invertIfNegative val="0"/>
          <c:dPt>
            <c:idx val="2"/>
            <c:invertIfNegative val="0"/>
            <c:bubble3D val="0"/>
            <c:spPr>
              <a:solidFill>
                <a:schemeClr val="accent4">
                  <a:lumMod val="60000"/>
                  <a:lumOff val="40000"/>
                </a:schemeClr>
              </a:solidFill>
              <a:ln>
                <a:solidFill>
                  <a:sysClr val="windowText" lastClr="000000"/>
                </a:solidFill>
              </a:ln>
              <a:effectLst/>
            </c:spPr>
            <c:extLst>
              <c:ext xmlns:c16="http://schemas.microsoft.com/office/drawing/2014/chart" uri="{C3380CC4-5D6E-409C-BE32-E72D297353CC}">
                <c16:uniqueId val="{00000001-0B60-4D69-9585-D4A49DDEA2BB}"/>
              </c:ext>
            </c:extLst>
          </c:dPt>
          <c:cat>
            <c:strRef>
              <c:f>Calcule!$AM$51:$AQ$51</c:f>
              <c:strCache>
                <c:ptCount val="5"/>
                <c:pt idx="0">
                  <c:v>2022</c:v>
                </c:pt>
                <c:pt idx="1">
                  <c:v>hiver</c:v>
                </c:pt>
                <c:pt idx="2">
                  <c:v>printemps</c:v>
                </c:pt>
                <c:pt idx="3">
                  <c:v>été</c:v>
                </c:pt>
                <c:pt idx="4">
                  <c:v>automne</c:v>
                </c:pt>
              </c:strCache>
            </c:strRef>
          </c:cat>
          <c:val>
            <c:numRef>
              <c:f>Calcule!$AM$59:$AP$59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2-86AA-4079-917D-D8528C382543}"/>
            </c:ext>
          </c:extLst>
        </c:ser>
        <c:ser>
          <c:idx val="7"/>
          <c:order val="8"/>
          <c:tx>
            <c:strRef>
              <c:f>Calcule!$AL$60</c:f>
              <c:strCache>
                <c:ptCount val="1"/>
                <c:pt idx="0">
                  <c:v>Gardé</c:v>
                </c:pt>
              </c:strCache>
            </c:strRef>
          </c:tx>
          <c:spPr>
            <a:solidFill>
              <a:srgbClr val="FF0066"/>
            </a:solidFill>
            <a:ln>
              <a:solidFill>
                <a:sysClr val="windowText" lastClr="000000"/>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Calcule!$AM$60:$AP$60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3-86AA-4079-917D-D8528C382543}"/>
            </c:ext>
          </c:extLst>
        </c:ser>
        <c:ser>
          <c:idx val="8"/>
          <c:order val="9"/>
          <c:tx>
            <c:strRef>
              <c:f>Calcule!$AL$61</c:f>
              <c:strCache>
                <c:ptCount val="1"/>
                <c:pt idx="0">
                  <c:v>Autoconsommé</c:v>
                </c:pt>
              </c:strCache>
            </c:strRef>
          </c:tx>
          <c:spPr>
            <a:solidFill>
              <a:schemeClr val="tx1">
                <a:lumMod val="95000"/>
                <a:lumOff val="5000"/>
              </a:schemeClr>
            </a:solidFill>
            <a:ln>
              <a:solidFill>
                <a:sysClr val="windowText" lastClr="000000"/>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Calcule!$AM$61:$AP$61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4-86AA-4079-917D-D8528C382543}"/>
            </c:ext>
          </c:extLst>
        </c:ser>
        <c:ser>
          <c:idx val="9"/>
          <c:order val="10"/>
          <c:tx>
            <c:strRef>
              <c:f>Calcule!$AL$62</c:f>
              <c:strCache>
                <c:ptCount val="1"/>
                <c:pt idx="0">
                  <c:v>Stock</c:v>
                </c:pt>
              </c:strCache>
            </c:strRef>
          </c:tx>
          <c:spPr>
            <a:solidFill>
              <a:schemeClr val="bg1">
                <a:lumMod val="50000"/>
              </a:schemeClr>
            </a:solidFill>
            <a:ln>
              <a:solidFill>
                <a:sysClr val="windowText" lastClr="000000"/>
              </a:solidFill>
            </a:ln>
            <a:effectLst/>
          </c:spPr>
          <c:invertIfNegative val="0"/>
          <c:cat>
            <c:strRef>
              <c:f>Calcule!$AM$51:$AQ$51</c:f>
              <c:strCache>
                <c:ptCount val="5"/>
                <c:pt idx="0">
                  <c:v>2022</c:v>
                </c:pt>
                <c:pt idx="1">
                  <c:v>hiver</c:v>
                </c:pt>
                <c:pt idx="2">
                  <c:v>printemps</c:v>
                </c:pt>
                <c:pt idx="3">
                  <c:v>été</c:v>
                </c:pt>
                <c:pt idx="4">
                  <c:v>automne</c:v>
                </c:pt>
              </c:strCache>
            </c:strRef>
          </c:cat>
          <c:val>
            <c:numRef>
              <c:f>Calcule!$AM$62:$AQ$62</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5-86AA-4079-917D-D8528C382543}"/>
            </c:ext>
          </c:extLst>
        </c:ser>
        <c:dLbls>
          <c:showLegendKey val="0"/>
          <c:showVal val="0"/>
          <c:showCatName val="0"/>
          <c:showSerName val="0"/>
          <c:showPercent val="0"/>
          <c:showBubbleSize val="0"/>
        </c:dLbls>
        <c:gapWidth val="150"/>
        <c:overlap val="100"/>
        <c:axId val="1110012351"/>
        <c:axId val="1090980223"/>
      </c:barChart>
      <c:catAx>
        <c:axId val="11100123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0980223"/>
        <c:crosses val="autoZero"/>
        <c:auto val="1"/>
        <c:lblAlgn val="ctr"/>
        <c:lblOffset val="100"/>
        <c:noMultiLvlLbl val="0"/>
      </c:catAx>
      <c:valAx>
        <c:axId val="10909802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Nombre d'agneaux</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10012351"/>
        <c:crosses val="autoZero"/>
        <c:crossBetween val="between"/>
      </c:valAx>
      <c:spPr>
        <a:noFill/>
        <a:ln>
          <a:noFill/>
        </a:ln>
        <a:effectLst/>
      </c:spPr>
    </c:plotArea>
    <c:legend>
      <c:legendPos val="b"/>
      <c:overlay val="0"/>
      <c:spPr>
        <a:noFill/>
        <a:ln>
          <a:solidFill>
            <a:sysClr val="windowText" lastClr="00000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Calcule!$AL$67</c:f>
              <c:strCache>
                <c:ptCount val="1"/>
                <c:pt idx="0">
                  <c:v>Charges foncières</c:v>
                </c:pt>
              </c:strCache>
            </c:strRef>
          </c:tx>
          <c:spPr>
            <a:solidFill>
              <a:schemeClr val="accent2"/>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Calcule!$AL$74</c:f>
              <c:strCache>
                <c:ptCount val="1"/>
                <c:pt idx="0">
                  <c:v>Charges de structures</c:v>
                </c:pt>
              </c:strCache>
            </c:strRef>
          </c:cat>
          <c:val>
            <c:numRef>
              <c:f>Calcule!$AM$67</c:f>
              <c:numCache>
                <c:formatCode>0</c:formatCode>
                <c:ptCount val="1"/>
                <c:pt idx="0">
                  <c:v>0</c:v>
                </c:pt>
              </c:numCache>
            </c:numRef>
          </c:val>
          <c:extLst>
            <c:ext xmlns:c16="http://schemas.microsoft.com/office/drawing/2014/chart" uri="{C3380CC4-5D6E-409C-BE32-E72D297353CC}">
              <c16:uniqueId val="{00000001-E23E-4CC5-8648-07FA42E2A242}"/>
            </c:ext>
          </c:extLst>
        </c:ser>
        <c:ser>
          <c:idx val="1"/>
          <c:order val="1"/>
          <c:tx>
            <c:strRef>
              <c:f>Calcule!$AL$68</c:f>
              <c:strCache>
                <c:ptCount val="1"/>
                <c:pt idx="0">
                  <c:v>Charges matériel</c:v>
                </c:pt>
              </c:strCache>
            </c:strRef>
          </c:tx>
          <c:spPr>
            <a:solidFill>
              <a:srgbClr val="FF6600"/>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Calcule!$AL$74</c:f>
              <c:strCache>
                <c:ptCount val="1"/>
                <c:pt idx="0">
                  <c:v>Charges de structures</c:v>
                </c:pt>
              </c:strCache>
            </c:strRef>
          </c:cat>
          <c:val>
            <c:numRef>
              <c:f>Calcule!$AM$68</c:f>
              <c:numCache>
                <c:formatCode>0</c:formatCode>
                <c:ptCount val="1"/>
                <c:pt idx="0">
                  <c:v>0</c:v>
                </c:pt>
              </c:numCache>
            </c:numRef>
          </c:val>
          <c:extLst>
            <c:ext xmlns:c16="http://schemas.microsoft.com/office/drawing/2014/chart" uri="{C3380CC4-5D6E-409C-BE32-E72D297353CC}">
              <c16:uniqueId val="{00000002-E23E-4CC5-8648-07FA42E2A242}"/>
            </c:ext>
          </c:extLst>
        </c:ser>
        <c:ser>
          <c:idx val="2"/>
          <c:order val="2"/>
          <c:tx>
            <c:strRef>
              <c:f>Calcule!$AL$69</c:f>
              <c:strCache>
                <c:ptCount val="1"/>
                <c:pt idx="0">
                  <c:v>Charges batiment</c:v>
                </c:pt>
              </c:strCache>
            </c:strRef>
          </c:tx>
          <c:spPr>
            <a:solidFill>
              <a:srgbClr val="FF0066"/>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Calcule!$AL$74</c:f>
              <c:strCache>
                <c:ptCount val="1"/>
                <c:pt idx="0">
                  <c:v>Charges de structures</c:v>
                </c:pt>
              </c:strCache>
            </c:strRef>
          </c:cat>
          <c:val>
            <c:numRef>
              <c:f>Calcule!$AM$69</c:f>
              <c:numCache>
                <c:formatCode>0</c:formatCode>
                <c:ptCount val="1"/>
                <c:pt idx="0">
                  <c:v>0</c:v>
                </c:pt>
              </c:numCache>
            </c:numRef>
          </c:val>
          <c:extLst>
            <c:ext xmlns:c16="http://schemas.microsoft.com/office/drawing/2014/chart" uri="{C3380CC4-5D6E-409C-BE32-E72D297353CC}">
              <c16:uniqueId val="{00000003-E23E-4CC5-8648-07FA42E2A242}"/>
            </c:ext>
          </c:extLst>
        </c:ser>
        <c:ser>
          <c:idx val="3"/>
          <c:order val="3"/>
          <c:tx>
            <c:strRef>
              <c:f>Calcule!$AL$70</c:f>
              <c:strCache>
                <c:ptCount val="1"/>
                <c:pt idx="0">
                  <c:v>Assurance</c:v>
                </c:pt>
              </c:strCache>
            </c:strRef>
          </c:tx>
          <c:spPr>
            <a:solidFill>
              <a:schemeClr val="tx2"/>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Calcule!$AL$74</c:f>
              <c:strCache>
                <c:ptCount val="1"/>
                <c:pt idx="0">
                  <c:v>Charges de structures</c:v>
                </c:pt>
              </c:strCache>
            </c:strRef>
          </c:cat>
          <c:val>
            <c:numRef>
              <c:f>Calcule!$AM$70</c:f>
              <c:numCache>
                <c:formatCode>0</c:formatCode>
                <c:ptCount val="1"/>
                <c:pt idx="0">
                  <c:v>0</c:v>
                </c:pt>
              </c:numCache>
            </c:numRef>
          </c:val>
          <c:extLst>
            <c:ext xmlns:c16="http://schemas.microsoft.com/office/drawing/2014/chart" uri="{C3380CC4-5D6E-409C-BE32-E72D297353CC}">
              <c16:uniqueId val="{00000004-E23E-4CC5-8648-07FA42E2A242}"/>
            </c:ext>
          </c:extLst>
        </c:ser>
        <c:ser>
          <c:idx val="4"/>
          <c:order val="4"/>
          <c:tx>
            <c:strRef>
              <c:f>Calcule!$AL$71</c:f>
              <c:strCache>
                <c:ptCount val="1"/>
                <c:pt idx="0">
                  <c:v>Charges main d'œuvre</c:v>
                </c:pt>
              </c:strCache>
            </c:strRef>
          </c:tx>
          <c:spPr>
            <a:solidFill>
              <a:srgbClr val="660033"/>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Calcule!$AL$74</c:f>
              <c:strCache>
                <c:ptCount val="1"/>
                <c:pt idx="0">
                  <c:v>Charges de structures</c:v>
                </c:pt>
              </c:strCache>
            </c:strRef>
          </c:cat>
          <c:val>
            <c:numRef>
              <c:f>Calcule!$AM$71</c:f>
              <c:numCache>
                <c:formatCode>0</c:formatCode>
                <c:ptCount val="1"/>
                <c:pt idx="0">
                  <c:v>0</c:v>
                </c:pt>
              </c:numCache>
            </c:numRef>
          </c:val>
          <c:extLst>
            <c:ext xmlns:c16="http://schemas.microsoft.com/office/drawing/2014/chart" uri="{C3380CC4-5D6E-409C-BE32-E72D297353CC}">
              <c16:uniqueId val="{00000005-E23E-4CC5-8648-07FA42E2A242}"/>
            </c:ext>
          </c:extLst>
        </c:ser>
        <c:ser>
          <c:idx val="5"/>
          <c:order val="5"/>
          <c:tx>
            <c:strRef>
              <c:f>Calcule!$AL$72</c:f>
              <c:strCache>
                <c:ptCount val="1"/>
                <c:pt idx="0">
                  <c:v>Charges protection</c:v>
                </c:pt>
              </c:strCache>
            </c:strRef>
          </c:tx>
          <c:spPr>
            <a:solidFill>
              <a:srgbClr val="FF0000"/>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Calcule!$AL$74</c:f>
              <c:strCache>
                <c:ptCount val="1"/>
                <c:pt idx="0">
                  <c:v>Charges de structures</c:v>
                </c:pt>
              </c:strCache>
            </c:strRef>
          </c:cat>
          <c:val>
            <c:numRef>
              <c:f>Calcule!$AM$72</c:f>
              <c:numCache>
                <c:formatCode>0</c:formatCode>
                <c:ptCount val="1"/>
                <c:pt idx="0">
                  <c:v>0</c:v>
                </c:pt>
              </c:numCache>
            </c:numRef>
          </c:val>
          <c:extLst>
            <c:ext xmlns:c16="http://schemas.microsoft.com/office/drawing/2014/chart" uri="{C3380CC4-5D6E-409C-BE32-E72D297353CC}">
              <c16:uniqueId val="{00000006-E23E-4CC5-8648-07FA42E2A242}"/>
            </c:ext>
          </c:extLst>
        </c:ser>
        <c:ser>
          <c:idx val="6"/>
          <c:order val="6"/>
          <c:tx>
            <c:strRef>
              <c:f>Calcule!$AL$73</c:f>
              <c:strCache>
                <c:ptCount val="1"/>
                <c:pt idx="0">
                  <c:v>Charge diverses</c:v>
                </c:pt>
              </c:strCache>
            </c:strRef>
          </c:tx>
          <c:spPr>
            <a:solidFill>
              <a:srgbClr val="FF66CC"/>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Calcule!$AL$74</c:f>
              <c:strCache>
                <c:ptCount val="1"/>
                <c:pt idx="0">
                  <c:v>Charges de structures</c:v>
                </c:pt>
              </c:strCache>
            </c:strRef>
          </c:cat>
          <c:val>
            <c:numRef>
              <c:f>Calcule!$AM$73</c:f>
              <c:numCache>
                <c:formatCode>0</c:formatCode>
                <c:ptCount val="1"/>
                <c:pt idx="0">
                  <c:v>0</c:v>
                </c:pt>
              </c:numCache>
            </c:numRef>
          </c:val>
          <c:extLst>
            <c:ext xmlns:c16="http://schemas.microsoft.com/office/drawing/2014/chart" uri="{C3380CC4-5D6E-409C-BE32-E72D297353CC}">
              <c16:uniqueId val="{00000007-E23E-4CC5-8648-07FA42E2A242}"/>
            </c:ext>
          </c:extLst>
        </c:ser>
        <c:dLbls>
          <c:dLblPos val="ctr"/>
          <c:showLegendKey val="0"/>
          <c:showVal val="1"/>
          <c:showCatName val="0"/>
          <c:showSerName val="0"/>
          <c:showPercent val="0"/>
          <c:showBubbleSize val="0"/>
        </c:dLbls>
        <c:gapWidth val="150"/>
        <c:overlap val="100"/>
        <c:axId val="602019872"/>
        <c:axId val="602020832"/>
      </c:barChart>
      <c:catAx>
        <c:axId val="602019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crossAx val="602020832"/>
        <c:crosses val="autoZero"/>
        <c:auto val="1"/>
        <c:lblAlgn val="ctr"/>
        <c:lblOffset val="100"/>
        <c:noMultiLvlLbl val="0"/>
      </c:catAx>
      <c:valAx>
        <c:axId val="602020832"/>
        <c:scaling>
          <c:orientation val="minMax"/>
        </c:scaling>
        <c:delete val="0"/>
        <c:axPos val="l"/>
        <c:majorGridlines>
          <c:spPr>
            <a:ln w="9525" cap="flat" cmpd="sng" algn="ctr">
              <a:solidFill>
                <a:schemeClr val="tx1">
                  <a:lumMod val="15000"/>
                  <a:lumOff val="85000"/>
                </a:schemeClr>
              </a:solidFill>
              <a:round/>
            </a:ln>
            <a:effectLst/>
          </c:spPr>
        </c:majorGridlines>
        <c:numFmt formatCode="#,##0\ &quot;€&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20198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200" b="1">
                <a:solidFill>
                  <a:schemeClr val="tx1"/>
                </a:solidFill>
                <a:latin typeface="+mj-lt"/>
              </a:rPr>
              <a:t>Autonomie</a:t>
            </a:r>
            <a:r>
              <a:rPr lang="fr-FR" sz="1200" b="1" baseline="0">
                <a:solidFill>
                  <a:schemeClr val="tx1"/>
                </a:solidFill>
                <a:latin typeface="+mj-lt"/>
              </a:rPr>
              <a:t> alimentaire massique de l'exploitation</a:t>
            </a:r>
            <a:endParaRPr lang="fr-FR" sz="1200" b="1">
              <a:solidFill>
                <a:schemeClr val="tx1"/>
              </a:solidFill>
              <a:latin typeface="+mj-lt"/>
            </a:endParaRPr>
          </a:p>
        </c:rich>
      </c:tx>
      <c:layout>
        <c:manualLayout>
          <c:xMode val="edge"/>
          <c:yMode val="edge"/>
          <c:x val="0.15753158127961278"/>
          <c:y val="6.6107385674103762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23773126996416463"/>
          <c:y val="0.16775481189851268"/>
          <c:w val="0.7047010287851424"/>
          <c:h val="0.73913475902135783"/>
        </c:manualLayout>
      </c:layout>
      <c:barChart>
        <c:barDir val="bar"/>
        <c:grouping val="clustered"/>
        <c:varyColors val="0"/>
        <c:ser>
          <c:idx val="2"/>
          <c:order val="0"/>
          <c:tx>
            <c:strRef>
              <c:f>'Stock et ration '!$K$5</c:f>
              <c:strCache>
                <c:ptCount val="1"/>
                <c:pt idx="0">
                  <c:v>Céréale et aliment</c:v>
                </c:pt>
              </c:strCache>
            </c:strRef>
          </c:tx>
          <c:spPr>
            <a:solidFill>
              <a:schemeClr val="accent6"/>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'Stock et ration '!$K$2:$L$2</c:f>
              <c:strCache>
                <c:ptCount val="1"/>
                <c:pt idx="0">
                  <c:v>Autonomie massique</c:v>
                </c:pt>
              </c:strCache>
            </c:strRef>
          </c:cat>
          <c:val>
            <c:numRef>
              <c:f>'Stock et ration '!$L$5</c:f>
              <c:numCache>
                <c:formatCode>0%</c:formatCode>
                <c:ptCount val="1"/>
                <c:pt idx="0">
                  <c:v>0</c:v>
                </c:pt>
              </c:numCache>
            </c:numRef>
          </c:val>
          <c:extLst>
            <c:ext xmlns:c16="http://schemas.microsoft.com/office/drawing/2014/chart" uri="{C3380CC4-5D6E-409C-BE32-E72D297353CC}">
              <c16:uniqueId val="{00000002-F481-4E83-B739-FA812ECDD6D9}"/>
            </c:ext>
          </c:extLst>
        </c:ser>
        <c:ser>
          <c:idx val="1"/>
          <c:order val="1"/>
          <c:tx>
            <c:strRef>
              <c:f>'Stock et ration '!$K$4</c:f>
              <c:strCache>
                <c:ptCount val="1"/>
                <c:pt idx="0">
                  <c:v>Paille</c:v>
                </c:pt>
              </c:strCache>
            </c:strRef>
          </c:tx>
          <c:spPr>
            <a:solidFill>
              <a:srgbClr val="FFC000"/>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'Stock et ration '!$K$2:$L$2</c:f>
              <c:strCache>
                <c:ptCount val="1"/>
                <c:pt idx="0">
                  <c:v>Autonomie massique</c:v>
                </c:pt>
              </c:strCache>
            </c:strRef>
          </c:cat>
          <c:val>
            <c:numRef>
              <c:f>'Stock et ration '!$L$4</c:f>
              <c:numCache>
                <c:formatCode>0%</c:formatCode>
                <c:ptCount val="1"/>
                <c:pt idx="0">
                  <c:v>0</c:v>
                </c:pt>
              </c:numCache>
            </c:numRef>
          </c:val>
          <c:extLst>
            <c:ext xmlns:c16="http://schemas.microsoft.com/office/drawing/2014/chart" uri="{C3380CC4-5D6E-409C-BE32-E72D297353CC}">
              <c16:uniqueId val="{00000001-F481-4E83-B739-FA812ECDD6D9}"/>
            </c:ext>
          </c:extLst>
        </c:ser>
        <c:ser>
          <c:idx val="0"/>
          <c:order val="2"/>
          <c:tx>
            <c:strRef>
              <c:f>'Stock et ration '!$K$3</c:f>
              <c:strCache>
                <c:ptCount val="1"/>
                <c:pt idx="0">
                  <c:v>Fourrage</c:v>
                </c:pt>
              </c:strCache>
            </c:strRef>
          </c:tx>
          <c:spPr>
            <a:solidFill>
              <a:schemeClr val="accent3"/>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'Stock et ration '!$K$2:$L$2</c:f>
              <c:strCache>
                <c:ptCount val="1"/>
                <c:pt idx="0">
                  <c:v>Autonomie massique</c:v>
                </c:pt>
              </c:strCache>
            </c:strRef>
          </c:cat>
          <c:val>
            <c:numRef>
              <c:f>'Stock et ration '!$L$3</c:f>
              <c:numCache>
                <c:formatCode>0%</c:formatCode>
                <c:ptCount val="1"/>
                <c:pt idx="0">
                  <c:v>0</c:v>
                </c:pt>
              </c:numCache>
            </c:numRef>
          </c:val>
          <c:extLst>
            <c:ext xmlns:c16="http://schemas.microsoft.com/office/drawing/2014/chart" uri="{C3380CC4-5D6E-409C-BE32-E72D297353CC}">
              <c16:uniqueId val="{00000000-F481-4E83-B739-FA812ECDD6D9}"/>
            </c:ext>
          </c:extLst>
        </c:ser>
        <c:dLbls>
          <c:showLegendKey val="0"/>
          <c:showVal val="1"/>
          <c:showCatName val="0"/>
          <c:showSerName val="0"/>
          <c:showPercent val="0"/>
          <c:showBubbleSize val="0"/>
        </c:dLbls>
        <c:gapWidth val="400"/>
        <c:overlap val="-92"/>
        <c:axId val="407301983"/>
        <c:axId val="407304383"/>
      </c:barChart>
      <c:catAx>
        <c:axId val="407301983"/>
        <c:scaling>
          <c:orientation val="minMax"/>
        </c:scaling>
        <c:delete val="1"/>
        <c:axPos val="l"/>
        <c:numFmt formatCode="General" sourceLinked="1"/>
        <c:majorTickMark val="none"/>
        <c:minorTickMark val="none"/>
        <c:tickLblPos val="nextTo"/>
        <c:crossAx val="407304383"/>
        <c:crosses val="autoZero"/>
        <c:auto val="1"/>
        <c:lblAlgn val="ctr"/>
        <c:lblOffset val="100"/>
        <c:noMultiLvlLbl val="0"/>
      </c:catAx>
      <c:valAx>
        <c:axId val="407304383"/>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07301983"/>
        <c:crosses val="autoZero"/>
        <c:crossBetween val="between"/>
      </c:valAx>
      <c:spPr>
        <a:noFill/>
        <a:ln>
          <a:noFill/>
        </a:ln>
        <a:effectLst/>
      </c:spPr>
    </c:plotArea>
    <c:legend>
      <c:legendPos val="l"/>
      <c:layout>
        <c:manualLayout>
          <c:xMode val="edge"/>
          <c:yMode val="edge"/>
          <c:x val="1.3803920204645834E-2"/>
          <c:y val="0.29676913138073657"/>
          <c:w val="0.23032305336832895"/>
          <c:h val="0.518660722904687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complet'!$GR$13:$GV$13</c:f>
              <c:strCache>
                <c:ptCount val="5"/>
                <c:pt idx="0">
                  <c:v>Taux de mise-bas (%)</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complet'!$GW$13:$HC$13</c:f>
              <c:numCache>
                <c:formatCode>0%</c:formatCode>
                <c:ptCount val="7"/>
                <c:pt idx="6">
                  <c:v>0</c:v>
                </c:pt>
              </c:numCache>
            </c:numRef>
          </c:val>
          <c:smooth val="0"/>
          <c:extLst>
            <c:ext xmlns:c16="http://schemas.microsoft.com/office/drawing/2014/chart" uri="{C3380CC4-5D6E-409C-BE32-E72D297353CC}">
              <c16:uniqueId val="{00000000-A2E0-44FF-AF3E-19B3ED2DA26E}"/>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complet'!$GR$14:$GV$14</c:f>
              <c:strCache>
                <c:ptCount val="5"/>
                <c:pt idx="0">
                  <c:v>Taux de prolificité (%)</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complet'!$GW$14:$HC$14</c:f>
              <c:numCache>
                <c:formatCode>0%</c:formatCode>
                <c:ptCount val="7"/>
                <c:pt idx="6">
                  <c:v>0</c:v>
                </c:pt>
              </c:numCache>
            </c:numRef>
          </c:val>
          <c:smooth val="0"/>
          <c:extLst>
            <c:ext xmlns:c16="http://schemas.microsoft.com/office/drawing/2014/chart" uri="{C3380CC4-5D6E-409C-BE32-E72D297353CC}">
              <c16:uniqueId val="{00000000-278B-4EDE-8B6C-706737347372}"/>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complet'!$GR$15:$GV$15</c:f>
              <c:strCache>
                <c:ptCount val="5"/>
                <c:pt idx="0">
                  <c:v>Taux de mortalité (%)</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complet'!$GW$15:$HC$15</c:f>
              <c:numCache>
                <c:formatCode>0%</c:formatCode>
                <c:ptCount val="7"/>
                <c:pt idx="6">
                  <c:v>0</c:v>
                </c:pt>
              </c:numCache>
            </c:numRef>
          </c:val>
          <c:smooth val="0"/>
          <c:extLst>
            <c:ext xmlns:c16="http://schemas.microsoft.com/office/drawing/2014/chart" uri="{C3380CC4-5D6E-409C-BE32-E72D297353CC}">
              <c16:uniqueId val="{00000000-419B-464F-B02E-9137A7866303}"/>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complet'!$GR$16:$GV$16</c:f>
              <c:strCache>
                <c:ptCount val="5"/>
                <c:pt idx="0">
                  <c:v>Taux de productivité numérique (%)</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complet'!$GW$16:$HC$16</c:f>
              <c:numCache>
                <c:formatCode>0%</c:formatCode>
                <c:ptCount val="7"/>
                <c:pt idx="6">
                  <c:v>0</c:v>
                </c:pt>
              </c:numCache>
            </c:numRef>
          </c:val>
          <c:smooth val="0"/>
          <c:extLst>
            <c:ext xmlns:c16="http://schemas.microsoft.com/office/drawing/2014/chart" uri="{C3380CC4-5D6E-409C-BE32-E72D297353CC}">
              <c16:uniqueId val="{00000000-BDCF-47A3-82D1-AA72EF11DACD}"/>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fr-FR" sz="1100"/>
              <a:t>Consommation</a:t>
            </a:r>
            <a:r>
              <a:rPr lang="fr-FR" sz="1100" baseline="0"/>
              <a:t> en fourrage et concentrés</a:t>
            </a:r>
            <a:endParaRPr lang="fr-FR"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complet'!$GR$19:$GV$19</c:f>
              <c:strCache>
                <c:ptCount val="5"/>
                <c:pt idx="0">
                  <c:v>Céréales et concentrés consommés (kg/EMP)</c:v>
                </c:pt>
              </c:strCache>
            </c:strRef>
          </c:tx>
          <c:spPr>
            <a:ln w="28575" cap="rnd">
              <a:solidFill>
                <a:schemeClr val="accent6"/>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complet'!$GW$19:$HC$19</c:f>
              <c:numCache>
                <c:formatCode>General</c:formatCode>
                <c:ptCount val="7"/>
                <c:pt idx="6" formatCode="0&quot; &quot;&quot;kg&quot;">
                  <c:v>0</c:v>
                </c:pt>
              </c:numCache>
            </c:numRef>
          </c:val>
          <c:smooth val="0"/>
          <c:extLst>
            <c:ext xmlns:c16="http://schemas.microsoft.com/office/drawing/2014/chart" uri="{C3380CC4-5D6E-409C-BE32-E72D297353CC}">
              <c16:uniqueId val="{00000000-765C-41E7-8934-A0873947B815}"/>
            </c:ext>
          </c:extLst>
        </c:ser>
        <c:ser>
          <c:idx val="1"/>
          <c:order val="1"/>
          <c:tx>
            <c:strRef>
              <c:f>'Bilan complet'!$GR$17:$GV$17</c:f>
              <c:strCache>
                <c:ptCount val="5"/>
                <c:pt idx="0">
                  <c:v>Fourrage consommé (kg/EMP)</c:v>
                </c:pt>
              </c:strCache>
            </c:strRef>
          </c:tx>
          <c:spPr>
            <a:ln w="28575" cap="rnd">
              <a:solidFill>
                <a:schemeClr val="accent3"/>
              </a:solidFill>
              <a:round/>
            </a:ln>
            <a:effectLst/>
          </c:spPr>
          <c:marker>
            <c:symbol val="none"/>
          </c:marker>
          <c:val>
            <c:numRef>
              <c:f>'Bilan complet'!$GW$17:$HC$17</c:f>
              <c:numCache>
                <c:formatCode>0%</c:formatCode>
                <c:ptCount val="7"/>
                <c:pt idx="6" formatCode="0&quot; &quot;&quot;kg&quot;">
                  <c:v>0</c:v>
                </c:pt>
              </c:numCache>
            </c:numRef>
          </c:val>
          <c:smooth val="0"/>
          <c:extLst>
            <c:ext xmlns:c16="http://schemas.microsoft.com/office/drawing/2014/chart" uri="{C3380CC4-5D6E-409C-BE32-E72D297353CC}">
              <c16:uniqueId val="{00000002-765C-41E7-8934-A0873947B815}"/>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complet'!$GR$21:$GV$21</c:f>
              <c:strCache>
                <c:ptCount val="5"/>
                <c:pt idx="0">
                  <c:v>Coût de la ration (€/EMP)</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complet'!$GW$21:$HC$21</c:f>
              <c:numCache>
                <c:formatCode>_-* #\ ##0\ "€"_-;\-* #\ ##0\ "€"_-;_-* "-"??\ "€"_-;_-@_-</c:formatCode>
                <c:ptCount val="7"/>
                <c:pt idx="6" formatCode="_(&quot;€&quot;* #,##0.00_);_(&quot;€&quot;* \(#,##0.00\);_(&quot;€&quot;* &quot;-&quot;??_);_(@_)">
                  <c:v>0</c:v>
                </c:pt>
              </c:numCache>
            </c:numRef>
          </c:val>
          <c:smooth val="0"/>
          <c:extLst>
            <c:ext xmlns:c16="http://schemas.microsoft.com/office/drawing/2014/chart" uri="{C3380CC4-5D6E-409C-BE32-E72D297353CC}">
              <c16:uniqueId val="{00000000-CFF1-46E9-B7E1-87A82B289562}"/>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_-* #\ ##0\ &quot;€&quot;_-;\-* #\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complet'!$GR$25:$GV$25</c:f>
              <c:strCache>
                <c:ptCount val="5"/>
                <c:pt idx="0">
                  <c:v>Produit ovin hors primes (€/ EMP)</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complet'!$GW$25:$HC$25</c:f>
              <c:numCache>
                <c:formatCode>_-* #\ ##0\ "€"_-;\-* #\ ##0\ "€"_-;_-* "-"??\ "€"_-;_-@_-</c:formatCode>
                <c:ptCount val="7"/>
                <c:pt idx="6">
                  <c:v>0</c:v>
                </c:pt>
              </c:numCache>
            </c:numRef>
          </c:val>
          <c:smooth val="0"/>
          <c:extLst>
            <c:ext xmlns:c16="http://schemas.microsoft.com/office/drawing/2014/chart" uri="{C3380CC4-5D6E-409C-BE32-E72D297353CC}">
              <c16:uniqueId val="{00000000-6FA9-4B1B-B578-749249E85D3F}"/>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_-* #\ ##0\ &quot;€&quot;_-;\-* #\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complet'!$GR$26:$GV$26</c:f>
              <c:strCache>
                <c:ptCount val="5"/>
                <c:pt idx="0">
                  <c:v>Charges opérationnelles (€/ EMP)</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complet'!$GW$26:$HC$26</c:f>
              <c:numCache>
                <c:formatCode>_-* #\ ##0\ "€"_-;\-* #\ ##0\ "€"_-;_-* "-"??\ "€"_-;_-@_-</c:formatCode>
                <c:ptCount val="7"/>
                <c:pt idx="6">
                  <c:v>0</c:v>
                </c:pt>
              </c:numCache>
            </c:numRef>
          </c:val>
          <c:smooth val="0"/>
          <c:extLst>
            <c:ext xmlns:c16="http://schemas.microsoft.com/office/drawing/2014/chart" uri="{C3380CC4-5D6E-409C-BE32-E72D297353CC}">
              <c16:uniqueId val="{00000000-3BFC-45FA-8AF2-7C10E205EC82}"/>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_-* #\ ##0\ &quot;€&quot;_-;\-* #\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complet'!$GR$27:$GV$27</c:f>
              <c:strCache>
                <c:ptCount val="5"/>
                <c:pt idx="0">
                  <c:v>Marge brute hors primes (€/ EMP)</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complet'!$GW$27:$HC$27</c:f>
              <c:numCache>
                <c:formatCode>_-* #\ ##0\ "€"_-;\-* #\ ##0\ "€"_-;_-* "-"??\ "€"_-;_-@_-</c:formatCode>
                <c:ptCount val="7"/>
                <c:pt idx="6">
                  <c:v>0</c:v>
                </c:pt>
              </c:numCache>
            </c:numRef>
          </c:val>
          <c:smooth val="0"/>
          <c:extLst>
            <c:ext xmlns:c16="http://schemas.microsoft.com/office/drawing/2014/chart" uri="{C3380CC4-5D6E-409C-BE32-E72D297353CC}">
              <c16:uniqueId val="{00000000-F206-4388-A938-5D7B4848985E}"/>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_-* #\ ##0\ &quot;€&quot;_-;\-* #\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complet'!$GR$32:$GV$32</c:f>
              <c:strCache>
                <c:ptCount val="5"/>
                <c:pt idx="0">
                  <c:v>Charges de structure totale (€)</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complet'!$GW$32:$HC$32</c:f>
              <c:numCache>
                <c:formatCode>_-* #\ ##0\ "€"_-;\-* #\ ##0\ "€"_-;_-* "-"??\ "€"_-;_-@_-</c:formatCode>
                <c:ptCount val="7"/>
                <c:pt idx="6">
                  <c:v>0</c:v>
                </c:pt>
              </c:numCache>
            </c:numRef>
          </c:val>
          <c:smooth val="0"/>
          <c:extLst>
            <c:ext xmlns:c16="http://schemas.microsoft.com/office/drawing/2014/chart" uri="{C3380CC4-5D6E-409C-BE32-E72D297353CC}">
              <c16:uniqueId val="{00000000-AEB3-4E56-8808-B51B630F35C3}"/>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_-* #\ ##0\ &quot;€&quot;_-;\-* #\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complet'!$GR$38:$GV$38</c:f>
              <c:strCache>
                <c:ptCount val="5"/>
                <c:pt idx="0">
                  <c:v>Revenu disponible par UMO (€)</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complet'!$GW$38:$HC$38</c:f>
              <c:numCache>
                <c:formatCode>_-* #\ ##0\ "€"_-;\-* #\ ##0\ "€"_-;_-* "-"??\ "€"_-;_-@_-</c:formatCode>
                <c:ptCount val="7"/>
                <c:pt idx="6">
                  <c:v>0</c:v>
                </c:pt>
              </c:numCache>
            </c:numRef>
          </c:val>
          <c:smooth val="0"/>
          <c:extLst>
            <c:ext xmlns:c16="http://schemas.microsoft.com/office/drawing/2014/chart" uri="{C3380CC4-5D6E-409C-BE32-E72D297353CC}">
              <c16:uniqueId val="{00000000-8A06-4B23-89F4-2C84E4C63867}"/>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_-* #\ ##0\ &quot;€&quot;_-;\-* #\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'Bilan complet'!$GR$36:$GV$36</c:f>
              <c:strCache>
                <c:ptCount val="5"/>
                <c:pt idx="0">
                  <c:v>Excèdent brut d'exploitation (€)</c:v>
                </c:pt>
              </c:strCache>
            </c:strRef>
          </c:tx>
          <c:spPr>
            <a:ln w="28575" cap="rnd">
              <a:solidFill>
                <a:schemeClr val="accent1"/>
              </a:solidFill>
              <a:round/>
            </a:ln>
            <a:effectLst/>
          </c:spPr>
          <c:marker>
            <c:symbol val="none"/>
          </c:marker>
          <c:cat>
            <c:strRef>
              <c:f>'Bilan complet'!$GW$5:$HC$6</c:f>
              <c:strCache>
                <c:ptCount val="7"/>
                <c:pt idx="0">
                  <c:v>2017</c:v>
                </c:pt>
                <c:pt idx="1">
                  <c:v>2018</c:v>
                </c:pt>
                <c:pt idx="2">
                  <c:v>2019</c:v>
                </c:pt>
                <c:pt idx="3">
                  <c:v>2020</c:v>
                </c:pt>
                <c:pt idx="4">
                  <c:v>2021</c:v>
                </c:pt>
                <c:pt idx="5">
                  <c:v>2022</c:v>
                </c:pt>
                <c:pt idx="6">
                  <c:v>2023</c:v>
                </c:pt>
              </c:strCache>
            </c:strRef>
          </c:cat>
          <c:val>
            <c:numRef>
              <c:f>'Bilan complet'!$GW$36:$HC$36</c:f>
              <c:numCache>
                <c:formatCode>_-* #\ ##0\ "€"_-;\-* #\ ##0\ "€"_-;_-* "-"??\ "€"_-;_-@_-</c:formatCode>
                <c:ptCount val="7"/>
                <c:pt idx="6">
                  <c:v>0</c:v>
                </c:pt>
              </c:numCache>
            </c:numRef>
          </c:val>
          <c:smooth val="0"/>
          <c:extLst>
            <c:ext xmlns:c16="http://schemas.microsoft.com/office/drawing/2014/chart" uri="{C3380CC4-5D6E-409C-BE32-E72D297353CC}">
              <c16:uniqueId val="{00000000-62CE-4A8A-9FE3-A66802E9B135}"/>
            </c:ext>
          </c:extLst>
        </c:ser>
        <c:dLbls>
          <c:showLegendKey val="0"/>
          <c:showVal val="0"/>
          <c:showCatName val="0"/>
          <c:showSerName val="0"/>
          <c:showPercent val="0"/>
          <c:showBubbleSize val="0"/>
        </c:dLbls>
        <c:smooth val="0"/>
        <c:axId val="411867567"/>
        <c:axId val="411882927"/>
      </c:lineChart>
      <c:catAx>
        <c:axId val="4118675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82927"/>
        <c:crosses val="autoZero"/>
        <c:auto val="1"/>
        <c:lblAlgn val="ctr"/>
        <c:lblOffset val="100"/>
        <c:noMultiLvlLbl val="0"/>
      </c:catAx>
      <c:valAx>
        <c:axId val="411882927"/>
        <c:scaling>
          <c:orientation val="minMax"/>
        </c:scaling>
        <c:delete val="0"/>
        <c:axPos val="l"/>
        <c:majorGridlines>
          <c:spPr>
            <a:ln w="9525" cap="flat" cmpd="sng" algn="ctr">
              <a:solidFill>
                <a:schemeClr val="tx1">
                  <a:lumMod val="15000"/>
                  <a:lumOff val="85000"/>
                </a:schemeClr>
              </a:solidFill>
              <a:round/>
            </a:ln>
            <a:effectLst/>
          </c:spPr>
        </c:majorGridlines>
        <c:numFmt formatCode="_-* #\ ##0\ &quot;€&quot;_-;\-* #\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11867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C000"/>
            </a:solidFill>
          </c:spPr>
          <c:dPt>
            <c:idx val="0"/>
            <c:bubble3D val="0"/>
            <c:spPr>
              <a:solidFill>
                <a:srgbClr val="FFC000"/>
              </a:solidFill>
              <a:ln w="19050">
                <a:solidFill>
                  <a:schemeClr val="lt1"/>
                </a:solidFill>
              </a:ln>
              <a:effectLst/>
            </c:spPr>
            <c:extLst>
              <c:ext xmlns:c16="http://schemas.microsoft.com/office/drawing/2014/chart" uri="{C3380CC4-5D6E-409C-BE32-E72D297353CC}">
                <c16:uniqueId val="{00000014-66F9-4E64-AFED-72E81BF5BA75}"/>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7840-4E25-B619-872573521F88}"/>
              </c:ext>
            </c:extLst>
          </c:dPt>
          <c:dPt>
            <c:idx val="2"/>
            <c:bubble3D val="0"/>
            <c:explosion val="2"/>
            <c:spPr>
              <a:solidFill>
                <a:srgbClr val="0070C0"/>
              </a:solidFill>
              <a:ln w="19050">
                <a:solidFill>
                  <a:schemeClr val="lt1"/>
                </a:solidFill>
              </a:ln>
              <a:effectLst/>
            </c:spPr>
            <c:extLst>
              <c:ext xmlns:c16="http://schemas.microsoft.com/office/drawing/2014/chart" uri="{C3380CC4-5D6E-409C-BE32-E72D297353CC}">
                <c16:uniqueId val="{00000005-7840-4E25-B619-872573521F88}"/>
              </c:ext>
            </c:extLst>
          </c:dPt>
          <c:dPt>
            <c:idx val="3"/>
            <c:bubble3D val="0"/>
            <c:spPr>
              <a:solidFill>
                <a:srgbClr val="00B050"/>
              </a:solidFill>
              <a:ln w="19050">
                <a:solidFill>
                  <a:schemeClr val="lt1"/>
                </a:solidFill>
              </a:ln>
              <a:effectLst/>
            </c:spPr>
            <c:extLst>
              <c:ext xmlns:c16="http://schemas.microsoft.com/office/drawing/2014/chart" uri="{C3380CC4-5D6E-409C-BE32-E72D297353CC}">
                <c16:uniqueId val="{00000007-7840-4E25-B619-872573521F8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0"/>
            <c:showCatName val="0"/>
            <c:showSerName val="0"/>
            <c:showPercent val="1"/>
            <c:showBubbleSize val="0"/>
            <c:showLeaderLines val="0"/>
            <c:extLst>
              <c:ext xmlns:c15="http://schemas.microsoft.com/office/drawing/2012/chart" uri="{CE6537A1-D6FC-4f65-9D91-7224C49458BB}"/>
            </c:extLst>
          </c:dLbls>
          <c:cat>
            <c:strRef>
              <c:f>'Bilan complet'!$BM$45:$BO$48</c:f>
              <c:strCache>
                <c:ptCount val="4"/>
                <c:pt idx="0">
                  <c:v>Lourd label</c:v>
                </c:pt>
                <c:pt idx="1">
                  <c:v>Lourd adret</c:v>
                </c:pt>
                <c:pt idx="2">
                  <c:v>Lourd standard</c:v>
                </c:pt>
                <c:pt idx="3">
                  <c:v>Lourd bio</c:v>
                </c:pt>
              </c:strCache>
            </c:strRef>
          </c:cat>
          <c:val>
            <c:numRef>
              <c:f>'Bilan complet'!$BP$45:$BP$48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10-66F9-4E64-AFED-72E81BF5BA75}"/>
            </c:ext>
          </c:extLst>
        </c:ser>
        <c:dLbls>
          <c:dLblPos val="ctr"/>
          <c:showLegendKey val="0"/>
          <c:showVal val="1"/>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Prix de vente moyen (€/tête)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tx>
            <c:strRef>
              <c:f>Calcule!$AM$26</c:f>
              <c:strCache>
                <c:ptCount val="1"/>
                <c:pt idx="0">
                  <c:v>Prix de vente moyen</c:v>
                </c:pt>
              </c:strCache>
            </c:strRef>
          </c:tx>
          <c:spPr>
            <a:solidFill>
              <a:schemeClr val="accent1"/>
            </a:solidFill>
            <a:ln>
              <a:solidFill>
                <a:sysClr val="windowText" lastClr="000000"/>
              </a:solidFill>
            </a:ln>
            <a:effectLst/>
          </c:spPr>
          <c:invertIfNegative val="0"/>
          <c:dPt>
            <c:idx val="0"/>
            <c:invertIfNegative val="0"/>
            <c:bubble3D val="0"/>
            <c:spPr>
              <a:solidFill>
                <a:srgbClr val="FFC000"/>
              </a:solidFill>
              <a:ln>
                <a:solidFill>
                  <a:sysClr val="windowText" lastClr="000000"/>
                </a:solidFill>
              </a:ln>
              <a:effectLst/>
            </c:spPr>
            <c:extLst>
              <c:ext xmlns:c16="http://schemas.microsoft.com/office/drawing/2014/chart" uri="{C3380CC4-5D6E-409C-BE32-E72D297353CC}">
                <c16:uniqueId val="{00000001-85C8-432D-B140-BA3144147D24}"/>
              </c:ext>
            </c:extLst>
          </c:dPt>
          <c:dPt>
            <c:idx val="1"/>
            <c:invertIfNegative val="0"/>
            <c:bubble3D val="0"/>
            <c:spPr>
              <a:solidFill>
                <a:srgbClr val="FF0000"/>
              </a:solidFill>
              <a:ln>
                <a:solidFill>
                  <a:sysClr val="windowText" lastClr="000000"/>
                </a:solidFill>
              </a:ln>
              <a:effectLst/>
            </c:spPr>
            <c:extLst>
              <c:ext xmlns:c16="http://schemas.microsoft.com/office/drawing/2014/chart" uri="{C3380CC4-5D6E-409C-BE32-E72D297353CC}">
                <c16:uniqueId val="{00000002-85C8-432D-B140-BA3144147D24}"/>
              </c:ext>
            </c:extLst>
          </c:dPt>
          <c:dPt>
            <c:idx val="2"/>
            <c:invertIfNegative val="0"/>
            <c:bubble3D val="0"/>
            <c:spPr>
              <a:solidFill>
                <a:srgbClr val="0070C0"/>
              </a:solidFill>
              <a:ln>
                <a:solidFill>
                  <a:sysClr val="windowText" lastClr="000000"/>
                </a:solidFill>
              </a:ln>
              <a:effectLst/>
            </c:spPr>
            <c:extLst>
              <c:ext xmlns:c16="http://schemas.microsoft.com/office/drawing/2014/chart" uri="{C3380CC4-5D6E-409C-BE32-E72D297353CC}">
                <c16:uniqueId val="{00000003-85C8-432D-B140-BA3144147D24}"/>
              </c:ext>
            </c:extLst>
          </c:dPt>
          <c:dPt>
            <c:idx val="3"/>
            <c:invertIfNegative val="0"/>
            <c:bubble3D val="0"/>
            <c:spPr>
              <a:solidFill>
                <a:srgbClr val="00B050"/>
              </a:solidFill>
              <a:ln>
                <a:solidFill>
                  <a:sysClr val="windowText" lastClr="000000"/>
                </a:solidFill>
              </a:ln>
              <a:effectLst/>
            </c:spPr>
            <c:extLst>
              <c:ext xmlns:c16="http://schemas.microsoft.com/office/drawing/2014/chart" uri="{C3380CC4-5D6E-409C-BE32-E72D297353CC}">
                <c16:uniqueId val="{00000004-85C8-432D-B140-BA3144147D24}"/>
              </c:ext>
            </c:extLst>
          </c:dPt>
          <c:dPt>
            <c:idx val="4"/>
            <c:invertIfNegative val="0"/>
            <c:bubble3D val="0"/>
            <c:spPr>
              <a:solidFill>
                <a:schemeClr val="accent5">
                  <a:lumMod val="40000"/>
                  <a:lumOff val="60000"/>
                </a:schemeClr>
              </a:solidFill>
              <a:ln>
                <a:solidFill>
                  <a:sysClr val="windowText" lastClr="000000"/>
                </a:solidFill>
              </a:ln>
              <a:effectLst/>
            </c:spPr>
            <c:extLst>
              <c:ext xmlns:c16="http://schemas.microsoft.com/office/drawing/2014/chart" uri="{C3380CC4-5D6E-409C-BE32-E72D297353CC}">
                <c16:uniqueId val="{00000006-85C8-432D-B140-BA3144147D24}"/>
              </c:ext>
            </c:extLst>
          </c:dPt>
          <c:dPt>
            <c:idx val="5"/>
            <c:invertIfNegative val="0"/>
            <c:bubble3D val="0"/>
            <c:spPr>
              <a:solidFill>
                <a:schemeClr val="accent2">
                  <a:lumMod val="40000"/>
                  <a:lumOff val="60000"/>
                </a:schemeClr>
              </a:solidFill>
              <a:ln>
                <a:solidFill>
                  <a:sysClr val="windowText" lastClr="000000"/>
                </a:solidFill>
              </a:ln>
              <a:effectLst/>
            </c:spPr>
            <c:extLst>
              <c:ext xmlns:c16="http://schemas.microsoft.com/office/drawing/2014/chart" uri="{C3380CC4-5D6E-409C-BE32-E72D297353CC}">
                <c16:uniqueId val="{00000007-85C8-432D-B140-BA3144147D24}"/>
              </c:ext>
            </c:extLst>
          </c:dPt>
          <c:dPt>
            <c:idx val="6"/>
            <c:invertIfNegative val="0"/>
            <c:bubble3D val="0"/>
            <c:spPr>
              <a:solidFill>
                <a:schemeClr val="accent3">
                  <a:lumMod val="40000"/>
                  <a:lumOff val="60000"/>
                </a:schemeClr>
              </a:solidFill>
              <a:ln>
                <a:solidFill>
                  <a:sysClr val="windowText" lastClr="000000"/>
                </a:solidFill>
              </a:ln>
              <a:effectLst/>
            </c:spPr>
            <c:extLst>
              <c:ext xmlns:c16="http://schemas.microsoft.com/office/drawing/2014/chart" uri="{C3380CC4-5D6E-409C-BE32-E72D297353CC}">
                <c16:uniqueId val="{00000008-85C8-432D-B140-BA3144147D24}"/>
              </c:ext>
            </c:extLst>
          </c:dPt>
          <c:dPt>
            <c:idx val="7"/>
            <c:invertIfNegative val="0"/>
            <c:bubble3D val="0"/>
            <c:spPr>
              <a:solidFill>
                <a:schemeClr val="accent3">
                  <a:lumMod val="40000"/>
                  <a:lumOff val="60000"/>
                </a:schemeClr>
              </a:solidFill>
              <a:ln>
                <a:solidFill>
                  <a:sysClr val="windowText" lastClr="000000"/>
                </a:solidFill>
              </a:ln>
              <a:effectLst/>
            </c:spPr>
            <c:extLst>
              <c:ext xmlns:c16="http://schemas.microsoft.com/office/drawing/2014/chart" uri="{C3380CC4-5D6E-409C-BE32-E72D297353CC}">
                <c16:uniqueId val="{00000005-85C8-432D-B140-BA3144147D24}"/>
              </c:ext>
            </c:extLst>
          </c:dPt>
          <c:dPt>
            <c:idx val="8"/>
            <c:invertIfNegative val="0"/>
            <c:bubble3D val="0"/>
            <c:spPr>
              <a:solidFill>
                <a:schemeClr val="accent4">
                  <a:lumMod val="60000"/>
                  <a:lumOff val="40000"/>
                </a:schemeClr>
              </a:solidFill>
              <a:ln>
                <a:solidFill>
                  <a:sysClr val="windowText" lastClr="000000"/>
                </a:solidFill>
              </a:ln>
              <a:effectLst/>
            </c:spPr>
            <c:extLst>
              <c:ext xmlns:c16="http://schemas.microsoft.com/office/drawing/2014/chart" uri="{C3380CC4-5D6E-409C-BE32-E72D297353CC}">
                <c16:uniqueId val="{00000009-85C8-432D-B140-BA3144147D24}"/>
              </c:ext>
            </c:extLst>
          </c:dPt>
          <c:dPt>
            <c:idx val="9"/>
            <c:invertIfNegative val="0"/>
            <c:bubble3D val="0"/>
            <c:spPr>
              <a:solidFill>
                <a:schemeClr val="accent4">
                  <a:lumMod val="60000"/>
                  <a:lumOff val="40000"/>
                </a:schemeClr>
              </a:solidFill>
              <a:ln>
                <a:solidFill>
                  <a:sysClr val="windowText" lastClr="000000"/>
                </a:solidFill>
              </a:ln>
              <a:effectLst/>
            </c:spPr>
            <c:extLst>
              <c:ext xmlns:c16="http://schemas.microsoft.com/office/drawing/2014/chart" uri="{C3380CC4-5D6E-409C-BE32-E72D297353CC}">
                <c16:uniqueId val="{0000000A-85C8-432D-B140-BA3144147D24}"/>
              </c:ext>
            </c:extLst>
          </c:dPt>
          <c:dPt>
            <c:idx val="10"/>
            <c:invertIfNegative val="0"/>
            <c:bubble3D val="0"/>
            <c:spPr>
              <a:solidFill>
                <a:schemeClr val="bg1"/>
              </a:solidFill>
              <a:ln>
                <a:solidFill>
                  <a:sysClr val="windowText" lastClr="000000"/>
                </a:solidFill>
              </a:ln>
              <a:effectLst/>
            </c:spPr>
            <c:extLst>
              <c:ext xmlns:c16="http://schemas.microsoft.com/office/drawing/2014/chart" uri="{C3380CC4-5D6E-409C-BE32-E72D297353CC}">
                <c16:uniqueId val="{0000000B-85C8-432D-B140-BA3144147D2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Calcule!$AL$27:$AL$37</c:f>
              <c:strCache>
                <c:ptCount val="11"/>
                <c:pt idx="0">
                  <c:v>Agneaux lourds label</c:v>
                </c:pt>
                <c:pt idx="1">
                  <c:v>Agneaux lourd adret</c:v>
                </c:pt>
                <c:pt idx="2">
                  <c:v>Agneaux lourds standards</c:v>
                </c:pt>
                <c:pt idx="3">
                  <c:v>Agneaux lourds bio</c:v>
                </c:pt>
                <c:pt idx="4">
                  <c:v>Agneaux légers</c:v>
                </c:pt>
                <c:pt idx="5">
                  <c:v>Agneaux maigres</c:v>
                </c:pt>
                <c:pt idx="6">
                  <c:v>Tardons maigres</c:v>
                </c:pt>
                <c:pt idx="7">
                  <c:v>Tardons finis</c:v>
                </c:pt>
                <c:pt idx="8">
                  <c:v>Jeunes femelles reproduction</c:v>
                </c:pt>
                <c:pt idx="9">
                  <c:v>Jeunes males reproduction</c:v>
                </c:pt>
                <c:pt idx="10">
                  <c:v>Brebis réformés</c:v>
                </c:pt>
              </c:strCache>
            </c:strRef>
          </c:cat>
          <c:val>
            <c:numRef>
              <c:f>Calcule!$AM$27:$AM$37</c:f>
              <c:numCache>
                <c:formatCode>_("€"* #,##0.00_);_("€"* \(#,##0.00\);_("€"* "-"??_);_(@_)</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85C8-432D-B140-BA3144147D24}"/>
            </c:ext>
          </c:extLst>
        </c:ser>
        <c:dLbls>
          <c:dLblPos val="outEnd"/>
          <c:showLegendKey val="0"/>
          <c:showVal val="1"/>
          <c:showCatName val="0"/>
          <c:showSerName val="0"/>
          <c:showPercent val="0"/>
          <c:showBubbleSize val="0"/>
        </c:dLbls>
        <c:gapWidth val="219"/>
        <c:overlap val="-27"/>
        <c:axId val="1501809104"/>
        <c:axId val="1501812464"/>
      </c:barChart>
      <c:catAx>
        <c:axId val="1501809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1812464"/>
        <c:crosses val="autoZero"/>
        <c:auto val="1"/>
        <c:lblAlgn val="ctr"/>
        <c:lblOffset val="100"/>
        <c:noMultiLvlLbl val="0"/>
      </c:catAx>
      <c:valAx>
        <c:axId val="150181246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1809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fr-FR" sz="1200" b="1" i="0" u="none" strike="noStrike" kern="1200" spc="0" baseline="0">
                <a:solidFill>
                  <a:schemeClr val="tx1"/>
                </a:solidFill>
                <a:latin typeface="+mj-lt"/>
                <a:ea typeface="+mn-ea"/>
                <a:cs typeface="+mn-cs"/>
              </a:defRPr>
            </a:pPr>
            <a:r>
              <a:rPr lang="fr-FR" sz="1200" b="1" i="0" u="none" strike="noStrike" kern="1200" spc="0" baseline="0">
                <a:solidFill>
                  <a:schemeClr val="tx1"/>
                </a:solidFill>
                <a:latin typeface="+mj-lt"/>
                <a:ea typeface="+mn-ea"/>
                <a:cs typeface="+mn-cs"/>
              </a:rPr>
              <a:t>Assolement</a:t>
            </a:r>
          </a:p>
        </c:rich>
      </c:tx>
      <c:overlay val="0"/>
      <c:spPr>
        <a:noFill/>
        <a:ln>
          <a:noFill/>
        </a:ln>
        <a:effectLst/>
      </c:spPr>
      <c:txPr>
        <a:bodyPr rot="0" spcFirstLastPara="1" vertOverflow="ellipsis" vert="horz" wrap="square" anchor="ctr" anchorCtr="1"/>
        <a:lstStyle/>
        <a:p>
          <a:pPr>
            <a:defRPr lang="fr-FR" sz="1200" b="1" i="0" u="none" strike="noStrike" kern="1200" spc="0" baseline="0">
              <a:solidFill>
                <a:schemeClr val="tx1"/>
              </a:solidFill>
              <a:latin typeface="+mj-lt"/>
              <a:ea typeface="+mn-ea"/>
              <a:cs typeface="+mn-cs"/>
            </a:defRPr>
          </a:pPr>
          <a:endParaRPr lang="fr-FR"/>
        </a:p>
      </c:txPr>
    </c:title>
    <c:autoTitleDeleted val="0"/>
    <c:plotArea>
      <c:layout/>
      <c:doughnutChart>
        <c:varyColors val="1"/>
        <c:ser>
          <c:idx val="0"/>
          <c:order val="0"/>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1-339D-4793-9DFE-414D72A80EC4}"/>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339D-4793-9DFE-414D72A80EC4}"/>
              </c:ext>
            </c:extLst>
          </c:dPt>
          <c:dPt>
            <c:idx val="2"/>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339D-4793-9DFE-414D72A80EC4}"/>
              </c:ext>
            </c:extLst>
          </c:dPt>
          <c:dPt>
            <c:idx val="3"/>
            <c:bubble3D val="0"/>
            <c:spPr>
              <a:solidFill>
                <a:srgbClr val="FFC000"/>
              </a:solidFill>
              <a:ln w="19050">
                <a:solidFill>
                  <a:schemeClr val="lt1"/>
                </a:solidFill>
              </a:ln>
              <a:effectLst/>
            </c:spPr>
            <c:extLst>
              <c:ext xmlns:c16="http://schemas.microsoft.com/office/drawing/2014/chart" uri="{C3380CC4-5D6E-409C-BE32-E72D297353CC}">
                <c16:uniqueId val="{00000007-339D-4793-9DFE-414D72A80EC4}"/>
              </c:ext>
            </c:extLst>
          </c:dPt>
          <c:dPt>
            <c:idx val="4"/>
            <c:bubble3D val="0"/>
            <c:spPr>
              <a:solidFill>
                <a:schemeClr val="accent2"/>
              </a:solidFill>
              <a:ln w="19050">
                <a:solidFill>
                  <a:schemeClr val="lt1"/>
                </a:solidFill>
              </a:ln>
              <a:effectLst/>
            </c:spPr>
            <c:extLst>
              <c:ext xmlns:c16="http://schemas.microsoft.com/office/drawing/2014/chart" uri="{C3380CC4-5D6E-409C-BE32-E72D297353CC}">
                <c16:uniqueId val="{00000009-339D-4793-9DFE-414D72A80EC4}"/>
              </c:ext>
            </c:extLst>
          </c:dPt>
          <c:dPt>
            <c:idx val="5"/>
            <c:bubble3D val="0"/>
            <c:spPr>
              <a:solidFill>
                <a:schemeClr val="accent1"/>
              </a:solidFill>
              <a:ln w="19050">
                <a:solidFill>
                  <a:schemeClr val="lt1"/>
                </a:solidFill>
              </a:ln>
              <a:effectLst/>
            </c:spPr>
            <c:extLst>
              <c:ext xmlns:c16="http://schemas.microsoft.com/office/drawing/2014/chart" uri="{C3380CC4-5D6E-409C-BE32-E72D297353CC}">
                <c16:uniqueId val="{0000000B-339D-4793-9DFE-414D72A80EC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chemeClr val="lt1"/>
                    </a:solidFill>
                    <a:latin typeface="+mn-lt"/>
                    <a:ea typeface="+mn-ea"/>
                    <a:cs typeface="+mn-cs"/>
                  </a:defRPr>
                </a:pPr>
                <a:endParaRPr lang="fr-FR"/>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Calcule!$AL$95:$AL$100</c:f>
              <c:strCache>
                <c:ptCount val="6"/>
                <c:pt idx="0">
                  <c:v>Culture fourragère</c:v>
                </c:pt>
                <c:pt idx="1">
                  <c:v>Prairie temporaire</c:v>
                </c:pt>
                <c:pt idx="2">
                  <c:v>Prairie permanente</c:v>
                </c:pt>
                <c:pt idx="3">
                  <c:v>Grande culture</c:v>
                </c:pt>
                <c:pt idx="4">
                  <c:v>Culture perrenne</c:v>
                </c:pt>
                <c:pt idx="5">
                  <c:v>Surface pastorale</c:v>
                </c:pt>
              </c:strCache>
            </c:strRef>
          </c:cat>
          <c:val>
            <c:numRef>
              <c:f>Calcule!$AM$95:$AM$100</c:f>
              <c:numCache>
                <c:formatCode>0" ""ha"</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339D-4793-9DFE-414D72A80EC4}"/>
            </c:ext>
          </c:extLst>
        </c:ser>
        <c:dLbls>
          <c:showLegendKey val="0"/>
          <c:showVal val="0"/>
          <c:showCatName val="0"/>
          <c:showSerName val="0"/>
          <c:showPercent val="0"/>
          <c:showBubbleSize val="0"/>
          <c:showLeaderLines val="1"/>
        </c:dLbls>
        <c:firstSliceAng val="0"/>
        <c:holeSize val="39"/>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0"/>
          <c:tx>
            <c:strRef>
              <c:f>Calcule!$AL$79</c:f>
              <c:strCache>
                <c:ptCount val="1"/>
                <c:pt idx="0">
                  <c:v>Alimentation achetée  </c:v>
                </c:pt>
              </c:strCache>
            </c:strRef>
          </c:tx>
          <c:spPr>
            <a:solidFill>
              <a:srgbClr val="FFFF99"/>
            </a:solidFill>
            <a:ln>
              <a:noFill/>
            </a:ln>
            <a:effectLst/>
          </c:spPr>
          <c:invertIfNegative val="0"/>
          <c:cat>
            <c:strRef>
              <c:f>Calcule!$AM$91:$AN$91</c:f>
              <c:strCache>
                <c:ptCount val="2"/>
                <c:pt idx="0">
                  <c:v>Coût de production</c:v>
                </c:pt>
                <c:pt idx="1">
                  <c:v>Produit de l'atelier</c:v>
                </c:pt>
              </c:strCache>
            </c:strRef>
          </c:cat>
          <c:val>
            <c:numRef>
              <c:f>Calcule!$AM$79:$AN$79</c:f>
              <c:numCache>
                <c:formatCode>General</c:formatCode>
                <c:ptCount val="2"/>
                <c:pt idx="0" formatCode="_(&quot;€&quot;* #,##0.00_);_(&quot;€&quot;* \(#,##0.00\);_(&quot;€&quot;* &quot;-&quot;??_);_(@_)">
                  <c:v>0</c:v>
                </c:pt>
              </c:numCache>
            </c:numRef>
          </c:val>
          <c:extLst>
            <c:ext xmlns:c16="http://schemas.microsoft.com/office/drawing/2014/chart" uri="{C3380CC4-5D6E-409C-BE32-E72D297353CC}">
              <c16:uniqueId val="{00000000-5A14-4ACB-BC52-F7B217476454}"/>
            </c:ext>
          </c:extLst>
        </c:ser>
        <c:ser>
          <c:idx val="3"/>
          <c:order val="1"/>
          <c:tx>
            <c:strRef>
              <c:f>Calcule!$AL$80</c:f>
              <c:strCache>
                <c:ptCount val="1"/>
                <c:pt idx="0">
                  <c:v>Approvisionnement SFPO </c:v>
                </c:pt>
              </c:strCache>
            </c:strRef>
          </c:tx>
          <c:spPr>
            <a:solidFill>
              <a:schemeClr val="accent6">
                <a:lumMod val="40000"/>
                <a:lumOff val="60000"/>
              </a:schemeClr>
            </a:solidFill>
            <a:ln>
              <a:noFill/>
            </a:ln>
            <a:effectLst/>
          </c:spPr>
          <c:invertIfNegative val="0"/>
          <c:cat>
            <c:strRef>
              <c:f>Calcule!$AM$91:$AN$91</c:f>
              <c:strCache>
                <c:ptCount val="2"/>
                <c:pt idx="0">
                  <c:v>Coût de production</c:v>
                </c:pt>
                <c:pt idx="1">
                  <c:v>Produit de l'atelier</c:v>
                </c:pt>
              </c:strCache>
            </c:strRef>
          </c:cat>
          <c:val>
            <c:numRef>
              <c:f>Calcule!$AM$80:$AN$80</c:f>
              <c:numCache>
                <c:formatCode>General</c:formatCode>
                <c:ptCount val="2"/>
                <c:pt idx="0" formatCode="_(&quot;€&quot;* #,##0.00_);_(&quot;€&quot;* \(#,##0.00\);_(&quot;€&quot;* &quot;-&quot;??_);_(@_)">
                  <c:v>0</c:v>
                </c:pt>
              </c:numCache>
            </c:numRef>
          </c:val>
          <c:extLst>
            <c:ext xmlns:c16="http://schemas.microsoft.com/office/drawing/2014/chart" uri="{C3380CC4-5D6E-409C-BE32-E72D297353CC}">
              <c16:uniqueId val="{00000001-5A14-4ACB-BC52-F7B217476454}"/>
            </c:ext>
          </c:extLst>
        </c:ser>
        <c:ser>
          <c:idx val="4"/>
          <c:order val="2"/>
          <c:tx>
            <c:strRef>
              <c:f>Calcule!$AL$81</c:f>
              <c:strCache>
                <c:ptCount val="1"/>
                <c:pt idx="0">
                  <c:v>Frais d’élevage  </c:v>
                </c:pt>
              </c:strCache>
            </c:strRef>
          </c:tx>
          <c:spPr>
            <a:solidFill>
              <a:srgbClr val="FFFF00"/>
            </a:solidFill>
            <a:ln>
              <a:noFill/>
            </a:ln>
            <a:effectLst/>
          </c:spPr>
          <c:invertIfNegative val="0"/>
          <c:cat>
            <c:strRef>
              <c:f>Calcule!$AM$91:$AN$91</c:f>
              <c:strCache>
                <c:ptCount val="2"/>
                <c:pt idx="0">
                  <c:v>Coût de production</c:v>
                </c:pt>
                <c:pt idx="1">
                  <c:v>Produit de l'atelier</c:v>
                </c:pt>
              </c:strCache>
            </c:strRef>
          </c:cat>
          <c:val>
            <c:numRef>
              <c:f>Calcule!$AM$81:$AN$81</c:f>
              <c:numCache>
                <c:formatCode>General</c:formatCode>
                <c:ptCount val="2"/>
                <c:pt idx="0" formatCode="_(&quot;€&quot;* #,##0.00_);_(&quot;€&quot;* \(#,##0.00\);_(&quot;€&quot;* &quot;-&quot;??_);_(@_)">
                  <c:v>0</c:v>
                </c:pt>
              </c:numCache>
            </c:numRef>
          </c:val>
          <c:extLst>
            <c:ext xmlns:c16="http://schemas.microsoft.com/office/drawing/2014/chart" uri="{C3380CC4-5D6E-409C-BE32-E72D297353CC}">
              <c16:uniqueId val="{00000002-5A14-4ACB-BC52-F7B217476454}"/>
            </c:ext>
          </c:extLst>
        </c:ser>
        <c:ser>
          <c:idx val="5"/>
          <c:order val="3"/>
          <c:tx>
            <c:strRef>
              <c:f>Calcule!$AL$82</c:f>
              <c:strCache>
                <c:ptCount val="1"/>
                <c:pt idx="0">
                  <c:v>Mécanisation</c:v>
                </c:pt>
              </c:strCache>
            </c:strRef>
          </c:tx>
          <c:spPr>
            <a:solidFill>
              <a:srgbClr val="FF6600"/>
            </a:solidFill>
            <a:ln>
              <a:noFill/>
            </a:ln>
            <a:effectLst/>
          </c:spPr>
          <c:invertIfNegative val="0"/>
          <c:cat>
            <c:strRef>
              <c:f>Calcule!$AM$91:$AN$91</c:f>
              <c:strCache>
                <c:ptCount val="2"/>
                <c:pt idx="0">
                  <c:v>Coût de production</c:v>
                </c:pt>
                <c:pt idx="1">
                  <c:v>Produit de l'atelier</c:v>
                </c:pt>
              </c:strCache>
            </c:strRef>
          </c:cat>
          <c:val>
            <c:numRef>
              <c:f>Calcule!$AM$82:$AN$82</c:f>
              <c:numCache>
                <c:formatCode>General</c:formatCode>
                <c:ptCount val="2"/>
                <c:pt idx="0" formatCode="_(&quot;€&quot;* #,##0.00_);_(&quot;€&quot;* \(#,##0.00\);_(&quot;€&quot;* &quot;-&quot;??_);_(@_)">
                  <c:v>#N/A</c:v>
                </c:pt>
              </c:numCache>
            </c:numRef>
          </c:val>
          <c:extLst>
            <c:ext xmlns:c16="http://schemas.microsoft.com/office/drawing/2014/chart" uri="{C3380CC4-5D6E-409C-BE32-E72D297353CC}">
              <c16:uniqueId val="{00000003-5A14-4ACB-BC52-F7B217476454}"/>
            </c:ext>
          </c:extLst>
        </c:ser>
        <c:ser>
          <c:idx val="7"/>
          <c:order val="4"/>
          <c:tx>
            <c:strRef>
              <c:f>Calcule!$AL$83</c:f>
              <c:strCache>
                <c:ptCount val="1"/>
                <c:pt idx="0">
                  <c:v>Bâtiments</c:v>
                </c:pt>
              </c:strCache>
            </c:strRef>
          </c:tx>
          <c:spPr>
            <a:solidFill>
              <a:srgbClr val="FF66CC"/>
            </a:solidFill>
            <a:ln>
              <a:noFill/>
            </a:ln>
            <a:effectLst/>
          </c:spPr>
          <c:invertIfNegative val="0"/>
          <c:cat>
            <c:strRef>
              <c:f>Calcule!$AM$91:$AN$91</c:f>
              <c:strCache>
                <c:ptCount val="2"/>
                <c:pt idx="0">
                  <c:v>Coût de production</c:v>
                </c:pt>
                <c:pt idx="1">
                  <c:v>Produit de l'atelier</c:v>
                </c:pt>
              </c:strCache>
            </c:strRef>
          </c:cat>
          <c:val>
            <c:numRef>
              <c:f>Calcule!$AM$83:$AN$83</c:f>
              <c:numCache>
                <c:formatCode>General</c:formatCode>
                <c:ptCount val="2"/>
                <c:pt idx="0" formatCode="_(&quot;€&quot;* #,##0.00_);_(&quot;€&quot;* \(#,##0.00\);_(&quot;€&quot;* &quot;-&quot;??_);_(@_)">
                  <c:v>#N/A</c:v>
                </c:pt>
              </c:numCache>
            </c:numRef>
          </c:val>
          <c:extLst>
            <c:ext xmlns:c16="http://schemas.microsoft.com/office/drawing/2014/chart" uri="{C3380CC4-5D6E-409C-BE32-E72D297353CC}">
              <c16:uniqueId val="{00000004-5A14-4ACB-BC52-F7B217476454}"/>
            </c:ext>
          </c:extLst>
        </c:ser>
        <c:ser>
          <c:idx val="6"/>
          <c:order val="5"/>
          <c:tx>
            <c:strRef>
              <c:f>Calcule!$AL$84</c:f>
              <c:strCache>
                <c:ptCount val="1"/>
                <c:pt idx="0">
                  <c:v>Frais divers de gestion  </c:v>
                </c:pt>
              </c:strCache>
            </c:strRef>
          </c:tx>
          <c:spPr>
            <a:solidFill>
              <a:srgbClr val="FF0066"/>
            </a:solidFill>
            <a:ln>
              <a:noFill/>
            </a:ln>
            <a:effectLst/>
          </c:spPr>
          <c:invertIfNegative val="0"/>
          <c:cat>
            <c:strRef>
              <c:f>Calcule!$AM$91:$AN$91</c:f>
              <c:strCache>
                <c:ptCount val="2"/>
                <c:pt idx="0">
                  <c:v>Coût de production</c:v>
                </c:pt>
                <c:pt idx="1">
                  <c:v>Produit de l'atelier</c:v>
                </c:pt>
              </c:strCache>
            </c:strRef>
          </c:cat>
          <c:val>
            <c:numRef>
              <c:f>Calcule!$AM$84:$AN$84</c:f>
              <c:numCache>
                <c:formatCode>General</c:formatCode>
                <c:ptCount val="2"/>
                <c:pt idx="0" formatCode="_(&quot;€&quot;* #,##0.00_);_(&quot;€&quot;* \(#,##0.00\);_(&quot;€&quot;* &quot;-&quot;??_);_(@_)">
                  <c:v>#N/A</c:v>
                </c:pt>
              </c:numCache>
            </c:numRef>
          </c:val>
          <c:extLst>
            <c:ext xmlns:c16="http://schemas.microsoft.com/office/drawing/2014/chart" uri="{C3380CC4-5D6E-409C-BE32-E72D297353CC}">
              <c16:uniqueId val="{00000005-5A14-4ACB-BC52-F7B217476454}"/>
            </c:ext>
          </c:extLst>
        </c:ser>
        <c:ser>
          <c:idx val="8"/>
          <c:order val="6"/>
          <c:tx>
            <c:strRef>
              <c:f>Calcule!$AL$85</c:f>
              <c:strCache>
                <c:ptCount val="1"/>
                <c:pt idx="0">
                  <c:v>Foncier et capital  </c:v>
                </c:pt>
              </c:strCache>
            </c:strRef>
          </c:tx>
          <c:spPr>
            <a:solidFill>
              <a:srgbClr val="800000"/>
            </a:solidFill>
            <a:ln>
              <a:noFill/>
            </a:ln>
            <a:effectLst/>
          </c:spPr>
          <c:invertIfNegative val="0"/>
          <c:cat>
            <c:strRef>
              <c:f>Calcule!$AM$91:$AN$91</c:f>
              <c:strCache>
                <c:ptCount val="2"/>
                <c:pt idx="0">
                  <c:v>Coût de production</c:v>
                </c:pt>
                <c:pt idx="1">
                  <c:v>Produit de l'atelier</c:v>
                </c:pt>
              </c:strCache>
            </c:strRef>
          </c:cat>
          <c:val>
            <c:numRef>
              <c:f>Calcule!$AM$85:$AN$85</c:f>
              <c:numCache>
                <c:formatCode>General</c:formatCode>
                <c:ptCount val="2"/>
                <c:pt idx="0" formatCode="_(&quot;€&quot;* #,##0.00_);_(&quot;€&quot;* \(#,##0.00\);_(&quot;€&quot;* &quot;-&quot;??_);_(@_)">
                  <c:v>#N/A</c:v>
                </c:pt>
              </c:numCache>
            </c:numRef>
          </c:val>
          <c:extLst>
            <c:ext xmlns:c16="http://schemas.microsoft.com/office/drawing/2014/chart" uri="{C3380CC4-5D6E-409C-BE32-E72D297353CC}">
              <c16:uniqueId val="{00000006-5A14-4ACB-BC52-F7B217476454}"/>
            </c:ext>
          </c:extLst>
        </c:ser>
        <c:ser>
          <c:idx val="0"/>
          <c:order val="7"/>
          <c:tx>
            <c:strRef>
              <c:f>Calcule!$AL$86</c:f>
              <c:strCache>
                <c:ptCount val="1"/>
                <c:pt idx="0">
                  <c:v>Travail  </c:v>
                </c:pt>
              </c:strCache>
            </c:strRef>
          </c:tx>
          <c:spPr>
            <a:solidFill>
              <a:srgbClr val="660033"/>
            </a:solidFill>
            <a:ln>
              <a:noFill/>
            </a:ln>
            <a:effectLst/>
          </c:spPr>
          <c:invertIfNegative val="0"/>
          <c:cat>
            <c:strRef>
              <c:f>Calcule!$AM$91:$AN$91</c:f>
              <c:strCache>
                <c:ptCount val="2"/>
                <c:pt idx="0">
                  <c:v>Coût de production</c:v>
                </c:pt>
                <c:pt idx="1">
                  <c:v>Produit de l'atelier</c:v>
                </c:pt>
              </c:strCache>
            </c:strRef>
          </c:cat>
          <c:val>
            <c:numRef>
              <c:f>Calcule!$AM$86:$AN$86</c:f>
              <c:numCache>
                <c:formatCode>General</c:formatCode>
                <c:ptCount val="2"/>
                <c:pt idx="0" formatCode="_(&quot;€&quot;* #,##0.00_);_(&quot;€&quot;* \(#,##0.00\);_(&quot;€&quot;* &quot;-&quot;??_);_(@_)">
                  <c:v>0</c:v>
                </c:pt>
              </c:numCache>
            </c:numRef>
          </c:val>
          <c:extLst>
            <c:ext xmlns:c16="http://schemas.microsoft.com/office/drawing/2014/chart" uri="{C3380CC4-5D6E-409C-BE32-E72D297353CC}">
              <c16:uniqueId val="{00000007-5A14-4ACB-BC52-F7B217476454}"/>
            </c:ext>
          </c:extLst>
        </c:ser>
        <c:ser>
          <c:idx val="9"/>
          <c:order val="8"/>
          <c:tx>
            <c:strRef>
              <c:f>Calcule!$AL$87</c:f>
              <c:strCache>
                <c:ptCount val="1"/>
                <c:pt idx="0">
                  <c:v>Protection des animaux</c:v>
                </c:pt>
              </c:strCache>
            </c:strRef>
          </c:tx>
          <c:spPr>
            <a:solidFill>
              <a:srgbClr val="FF0000"/>
            </a:solidFill>
            <a:ln>
              <a:noFill/>
            </a:ln>
            <a:effectLst/>
          </c:spPr>
          <c:invertIfNegative val="0"/>
          <c:cat>
            <c:strRef>
              <c:f>Calcule!$AM$91:$AN$91</c:f>
              <c:strCache>
                <c:ptCount val="2"/>
                <c:pt idx="0">
                  <c:v>Coût de production</c:v>
                </c:pt>
                <c:pt idx="1">
                  <c:v>Produit de l'atelier</c:v>
                </c:pt>
              </c:strCache>
            </c:strRef>
          </c:cat>
          <c:val>
            <c:numRef>
              <c:f>Calcule!$AM$87:$AN$87</c:f>
              <c:numCache>
                <c:formatCode>General</c:formatCode>
                <c:ptCount val="2"/>
                <c:pt idx="0" formatCode="_(&quot;€&quot;* #,##0.00_);_(&quot;€&quot;* \(#,##0.00\);_(&quot;€&quot;* &quot;-&quot;??_);_(@_)">
                  <c:v>0</c:v>
                </c:pt>
              </c:numCache>
            </c:numRef>
          </c:val>
          <c:extLst>
            <c:ext xmlns:c16="http://schemas.microsoft.com/office/drawing/2014/chart" uri="{C3380CC4-5D6E-409C-BE32-E72D297353CC}">
              <c16:uniqueId val="{00000008-5A14-4ACB-BC52-F7B217476454}"/>
            </c:ext>
          </c:extLst>
        </c:ser>
        <c:ser>
          <c:idx val="10"/>
          <c:order val="9"/>
          <c:tx>
            <c:strRef>
              <c:f>Calcule!$AO$88</c:f>
              <c:strCache>
                <c:ptCount val="1"/>
                <c:pt idx="0">
                  <c:v>Prix des agneaux  </c:v>
                </c:pt>
              </c:strCache>
            </c:strRef>
          </c:tx>
          <c:spPr>
            <a:solidFill>
              <a:schemeClr val="accent1">
                <a:lumMod val="60000"/>
                <a:lumOff val="40000"/>
              </a:schemeClr>
            </a:solidFill>
            <a:ln>
              <a:noFill/>
            </a:ln>
            <a:effectLst/>
          </c:spPr>
          <c:invertIfNegative val="0"/>
          <c:cat>
            <c:strRef>
              <c:f>Calcule!$AM$91:$AN$91</c:f>
              <c:strCache>
                <c:ptCount val="2"/>
                <c:pt idx="0">
                  <c:v>Coût de production</c:v>
                </c:pt>
                <c:pt idx="1">
                  <c:v>Produit de l'atelier</c:v>
                </c:pt>
              </c:strCache>
            </c:strRef>
          </c:cat>
          <c:val>
            <c:numRef>
              <c:f>Calcule!$AM$88:$AN$88</c:f>
              <c:numCache>
                <c:formatCode>_("€"* #,##0.00_);_("€"* \(#,##0.00\);_("€"* "-"??_);_(@_)</c:formatCode>
                <c:ptCount val="2"/>
                <c:pt idx="1">
                  <c:v>0</c:v>
                </c:pt>
              </c:numCache>
            </c:numRef>
          </c:val>
          <c:extLst>
            <c:ext xmlns:c16="http://schemas.microsoft.com/office/drawing/2014/chart" uri="{C3380CC4-5D6E-409C-BE32-E72D297353CC}">
              <c16:uniqueId val="{00000009-5A14-4ACB-BC52-F7B217476454}"/>
            </c:ext>
          </c:extLst>
        </c:ser>
        <c:ser>
          <c:idx val="11"/>
          <c:order val="10"/>
          <c:tx>
            <c:strRef>
              <c:f>Calcule!$AO$89</c:f>
              <c:strCache>
                <c:ptCount val="1"/>
                <c:pt idx="0">
                  <c:v>Autres produits  </c:v>
                </c:pt>
              </c:strCache>
            </c:strRef>
          </c:tx>
          <c:spPr>
            <a:solidFill>
              <a:srgbClr val="00B050"/>
            </a:solidFill>
            <a:ln>
              <a:noFill/>
            </a:ln>
            <a:effectLst/>
          </c:spPr>
          <c:invertIfNegative val="0"/>
          <c:cat>
            <c:strRef>
              <c:f>Calcule!$AM$91:$AN$91</c:f>
              <c:strCache>
                <c:ptCount val="2"/>
                <c:pt idx="0">
                  <c:v>Coût de production</c:v>
                </c:pt>
                <c:pt idx="1">
                  <c:v>Produit de l'atelier</c:v>
                </c:pt>
              </c:strCache>
            </c:strRef>
          </c:cat>
          <c:val>
            <c:numRef>
              <c:f>Calcule!$AM$89:$AN$89</c:f>
              <c:numCache>
                <c:formatCode>_("€"* #,##0.00_);_("€"* \(#,##0.00\);_("€"* "-"??_);_(@_)</c:formatCode>
                <c:ptCount val="2"/>
                <c:pt idx="1">
                  <c:v>0</c:v>
                </c:pt>
              </c:numCache>
            </c:numRef>
          </c:val>
          <c:extLst>
            <c:ext xmlns:c16="http://schemas.microsoft.com/office/drawing/2014/chart" uri="{C3380CC4-5D6E-409C-BE32-E72D297353CC}">
              <c16:uniqueId val="{0000000A-5A14-4ACB-BC52-F7B217476454}"/>
            </c:ext>
          </c:extLst>
        </c:ser>
        <c:ser>
          <c:idx val="12"/>
          <c:order val="11"/>
          <c:tx>
            <c:strRef>
              <c:f>Calcule!$AO$90</c:f>
              <c:strCache>
                <c:ptCount val="1"/>
                <c:pt idx="0">
                  <c:v>Aides affectées  </c:v>
                </c:pt>
              </c:strCache>
            </c:strRef>
          </c:tx>
          <c:spPr>
            <a:solidFill>
              <a:schemeClr val="accent5">
                <a:lumMod val="75000"/>
              </a:schemeClr>
            </a:solidFill>
            <a:ln>
              <a:noFill/>
            </a:ln>
            <a:effectLst/>
          </c:spPr>
          <c:invertIfNegative val="0"/>
          <c:cat>
            <c:strRef>
              <c:f>Calcule!$AM$91:$AN$91</c:f>
              <c:strCache>
                <c:ptCount val="2"/>
                <c:pt idx="0">
                  <c:v>Coût de production</c:v>
                </c:pt>
                <c:pt idx="1">
                  <c:v>Produit de l'atelier</c:v>
                </c:pt>
              </c:strCache>
            </c:strRef>
          </c:cat>
          <c:val>
            <c:numRef>
              <c:f>Calcule!$AM$90:$AN$90</c:f>
              <c:numCache>
                <c:formatCode>_("€"* #,##0.00_);_("€"* \(#,##0.00\);_("€"* "-"??_);_(@_)</c:formatCode>
                <c:ptCount val="2"/>
                <c:pt idx="1">
                  <c:v>0</c:v>
                </c:pt>
              </c:numCache>
            </c:numRef>
          </c:val>
          <c:extLst>
            <c:ext xmlns:c16="http://schemas.microsoft.com/office/drawing/2014/chart" uri="{C3380CC4-5D6E-409C-BE32-E72D297353CC}">
              <c16:uniqueId val="{0000000B-5A14-4ACB-BC52-F7B217476454}"/>
            </c:ext>
          </c:extLst>
        </c:ser>
        <c:dLbls>
          <c:showLegendKey val="0"/>
          <c:showVal val="0"/>
          <c:showCatName val="0"/>
          <c:showSerName val="0"/>
          <c:showPercent val="0"/>
          <c:showBubbleSize val="0"/>
        </c:dLbls>
        <c:gapWidth val="150"/>
        <c:overlap val="100"/>
        <c:axId val="327264704"/>
        <c:axId val="327265088"/>
      </c:barChart>
      <c:catAx>
        <c:axId val="327264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27265088"/>
        <c:crosses val="autoZero"/>
        <c:auto val="1"/>
        <c:lblAlgn val="ctr"/>
        <c:lblOffset val="100"/>
        <c:noMultiLvlLbl val="0"/>
      </c:catAx>
      <c:valAx>
        <c:axId val="327265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 / kg de carcasse d'agneaux</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27264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3" Type="http://schemas.openxmlformats.org/officeDocument/2006/relationships/chart" Target="../charts/chart2.xml"/><Relationship Id="rId18" Type="http://schemas.openxmlformats.org/officeDocument/2006/relationships/image" Target="../media/image17.jpeg"/><Relationship Id="rId26" Type="http://schemas.openxmlformats.org/officeDocument/2006/relationships/chart" Target="../charts/chart9.xml"/><Relationship Id="rId39" Type="http://schemas.openxmlformats.org/officeDocument/2006/relationships/image" Target="../media/image22.png"/><Relationship Id="rId21" Type="http://schemas.openxmlformats.org/officeDocument/2006/relationships/chart" Target="../charts/chart4.xml"/><Relationship Id="rId34" Type="http://schemas.openxmlformats.org/officeDocument/2006/relationships/chart" Target="../charts/chart17.xml"/><Relationship Id="rId42" Type="http://schemas.microsoft.com/office/2007/relationships/hdphoto" Target="../media/hdphoto4.wdp"/><Relationship Id="rId47" Type="http://schemas.openxmlformats.org/officeDocument/2006/relationships/image" Target="../media/image27.png"/><Relationship Id="rId50" Type="http://schemas.microsoft.com/office/2007/relationships/hdphoto" Target="../media/hdphoto6.wdp"/><Relationship Id="rId7" Type="http://schemas.openxmlformats.org/officeDocument/2006/relationships/image" Target="../media/image9.png"/><Relationship Id="rId2" Type="http://schemas.microsoft.com/office/2007/relationships/hdphoto" Target="../media/hdphoto1.wdp"/><Relationship Id="rId16" Type="http://schemas.openxmlformats.org/officeDocument/2006/relationships/image" Target="../media/image15.jpeg"/><Relationship Id="rId29" Type="http://schemas.openxmlformats.org/officeDocument/2006/relationships/chart" Target="../charts/chart12.xml"/><Relationship Id="rId11" Type="http://schemas.openxmlformats.org/officeDocument/2006/relationships/image" Target="../media/image13.jpeg"/><Relationship Id="rId24" Type="http://schemas.openxmlformats.org/officeDocument/2006/relationships/chart" Target="../charts/chart7.xml"/><Relationship Id="rId32" Type="http://schemas.openxmlformats.org/officeDocument/2006/relationships/chart" Target="../charts/chart15.xml"/><Relationship Id="rId37" Type="http://schemas.openxmlformats.org/officeDocument/2006/relationships/image" Target="../media/image21.png"/><Relationship Id="rId40" Type="http://schemas.openxmlformats.org/officeDocument/2006/relationships/image" Target="../media/image23.png"/><Relationship Id="rId45" Type="http://schemas.openxmlformats.org/officeDocument/2006/relationships/chart" Target="../charts/chart19.xml"/><Relationship Id="rId5" Type="http://schemas.openxmlformats.org/officeDocument/2006/relationships/image" Target="../media/image7.png"/><Relationship Id="rId15" Type="http://schemas.openxmlformats.org/officeDocument/2006/relationships/image" Target="../media/image14.jpeg"/><Relationship Id="rId23" Type="http://schemas.openxmlformats.org/officeDocument/2006/relationships/chart" Target="../charts/chart6.xml"/><Relationship Id="rId28" Type="http://schemas.openxmlformats.org/officeDocument/2006/relationships/chart" Target="../charts/chart11.xml"/><Relationship Id="rId36" Type="http://schemas.openxmlformats.org/officeDocument/2006/relationships/image" Target="../media/image20.png"/><Relationship Id="rId49" Type="http://schemas.openxmlformats.org/officeDocument/2006/relationships/image" Target="../media/image28.png"/><Relationship Id="rId10" Type="http://schemas.openxmlformats.org/officeDocument/2006/relationships/image" Target="../media/image12.png"/><Relationship Id="rId19" Type="http://schemas.openxmlformats.org/officeDocument/2006/relationships/image" Target="../media/image18.jpeg"/><Relationship Id="rId31" Type="http://schemas.openxmlformats.org/officeDocument/2006/relationships/chart" Target="../charts/chart14.xml"/><Relationship Id="rId44" Type="http://schemas.openxmlformats.org/officeDocument/2006/relationships/image" Target="../media/image26.svg"/><Relationship Id="rId52" Type="http://schemas.openxmlformats.org/officeDocument/2006/relationships/chart" Target="../charts/chart21.xml"/><Relationship Id="rId4" Type="http://schemas.microsoft.com/office/2007/relationships/hdphoto" Target="../media/hdphoto2.wdp"/><Relationship Id="rId9" Type="http://schemas.openxmlformats.org/officeDocument/2006/relationships/image" Target="../media/image11.png"/><Relationship Id="rId14" Type="http://schemas.openxmlformats.org/officeDocument/2006/relationships/chart" Target="../charts/chart3.xml"/><Relationship Id="rId22" Type="http://schemas.openxmlformats.org/officeDocument/2006/relationships/chart" Target="../charts/chart5.xml"/><Relationship Id="rId27" Type="http://schemas.openxmlformats.org/officeDocument/2006/relationships/chart" Target="../charts/chart10.xml"/><Relationship Id="rId30" Type="http://schemas.openxmlformats.org/officeDocument/2006/relationships/chart" Target="../charts/chart13.xml"/><Relationship Id="rId35" Type="http://schemas.openxmlformats.org/officeDocument/2006/relationships/chart" Target="../charts/chart18.xml"/><Relationship Id="rId43" Type="http://schemas.openxmlformats.org/officeDocument/2006/relationships/image" Target="../media/image25.png"/><Relationship Id="rId48" Type="http://schemas.microsoft.com/office/2007/relationships/hdphoto" Target="../media/hdphoto5.wdp"/><Relationship Id="rId8" Type="http://schemas.openxmlformats.org/officeDocument/2006/relationships/image" Target="../media/image10.png"/><Relationship Id="rId51" Type="http://schemas.openxmlformats.org/officeDocument/2006/relationships/image" Target="../media/image29.png"/><Relationship Id="rId3" Type="http://schemas.openxmlformats.org/officeDocument/2006/relationships/image" Target="../media/image6.png"/><Relationship Id="rId12" Type="http://schemas.openxmlformats.org/officeDocument/2006/relationships/chart" Target="../charts/chart1.xml"/><Relationship Id="rId17" Type="http://schemas.openxmlformats.org/officeDocument/2006/relationships/image" Target="../media/image16.png"/><Relationship Id="rId25" Type="http://schemas.openxmlformats.org/officeDocument/2006/relationships/chart" Target="../charts/chart8.xml"/><Relationship Id="rId33" Type="http://schemas.openxmlformats.org/officeDocument/2006/relationships/chart" Target="../charts/chart16.xml"/><Relationship Id="rId38" Type="http://schemas.microsoft.com/office/2007/relationships/hdphoto" Target="../media/hdphoto3.wdp"/><Relationship Id="rId46" Type="http://schemas.openxmlformats.org/officeDocument/2006/relationships/chart" Target="../charts/chart20.xml"/><Relationship Id="rId20" Type="http://schemas.openxmlformats.org/officeDocument/2006/relationships/image" Target="../media/image19.jpeg"/><Relationship Id="rId41" Type="http://schemas.openxmlformats.org/officeDocument/2006/relationships/image" Target="../media/image24.png"/><Relationship Id="rId1" Type="http://schemas.openxmlformats.org/officeDocument/2006/relationships/image" Target="../media/image5.png"/><Relationship Id="rId6" Type="http://schemas.openxmlformats.org/officeDocument/2006/relationships/image" Target="../media/image8.png"/></Relationships>
</file>

<file path=xl/drawings/_rels/drawing3.xml.rels><?xml version="1.0" encoding="UTF-8" standalone="yes"?>
<Relationships xmlns="http://schemas.openxmlformats.org/package/2006/relationships"><Relationship Id="rId8" Type="http://schemas.microsoft.com/office/2007/relationships/hdphoto" Target="../media/hdphoto6.wdp"/><Relationship Id="rId3" Type="http://schemas.openxmlformats.org/officeDocument/2006/relationships/image" Target="../media/image30.jpeg"/><Relationship Id="rId7" Type="http://schemas.openxmlformats.org/officeDocument/2006/relationships/image" Target="../media/image28.png"/><Relationship Id="rId2" Type="http://schemas.openxmlformats.org/officeDocument/2006/relationships/image" Target="../media/image4.jpeg"/><Relationship Id="rId1" Type="http://schemas.openxmlformats.org/officeDocument/2006/relationships/image" Target="../media/image1.jpeg"/><Relationship Id="rId6" Type="http://schemas.microsoft.com/office/2007/relationships/hdphoto" Target="../media/hdphoto5.wdp"/><Relationship Id="rId5" Type="http://schemas.openxmlformats.org/officeDocument/2006/relationships/image" Target="../media/image31.png"/><Relationship Id="rId10" Type="http://schemas.openxmlformats.org/officeDocument/2006/relationships/image" Target="../media/image32.jpeg"/><Relationship Id="rId4" Type="http://schemas.openxmlformats.org/officeDocument/2006/relationships/image" Target="../media/image2.jpeg"/><Relationship Id="rId9" Type="http://schemas.openxmlformats.org/officeDocument/2006/relationships/image" Target="../media/image29.png"/></Relationships>
</file>

<file path=xl/drawings/_rels/drawing4.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4.jpeg"/><Relationship Id="rId1" Type="http://schemas.openxmlformats.org/officeDocument/2006/relationships/image" Target="../media/image1.jpeg"/><Relationship Id="rId6" Type="http://schemas.openxmlformats.org/officeDocument/2006/relationships/image" Target="../media/image35.jpeg"/><Relationship Id="rId5" Type="http://schemas.openxmlformats.org/officeDocument/2006/relationships/chart" Target="../charts/chart22.xml"/><Relationship Id="rId4" Type="http://schemas.openxmlformats.org/officeDocument/2006/relationships/image" Target="../media/image3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twoCellAnchor editAs="oneCell">
    <xdr:from>
      <xdr:col>9</xdr:col>
      <xdr:colOff>4287</xdr:colOff>
      <xdr:row>15</xdr:row>
      <xdr:rowOff>202404</xdr:rowOff>
    </xdr:from>
    <xdr:to>
      <xdr:col>9</xdr:col>
      <xdr:colOff>806291</xdr:colOff>
      <xdr:row>19</xdr:row>
      <xdr:rowOff>176282</xdr:rowOff>
    </xdr:to>
    <xdr:pic>
      <xdr:nvPicPr>
        <xdr:cNvPr id="3" name="Image 2">
          <a:extLst>
            <a:ext uri="{FF2B5EF4-FFF2-40B4-BE49-F238E27FC236}">
              <a16:creationId xmlns:a16="http://schemas.microsoft.com/office/drawing/2014/main" id="{1EB7AA59-F8E0-4FA4-A26D-390877B48A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958037" y="3512342"/>
          <a:ext cx="802004" cy="843034"/>
        </a:xfrm>
        <a:prstGeom prst="rect">
          <a:avLst/>
        </a:prstGeom>
      </xdr:spPr>
    </xdr:pic>
    <xdr:clientData/>
  </xdr:twoCellAnchor>
  <xdr:twoCellAnchor editAs="oneCell">
    <xdr:from>
      <xdr:col>10</xdr:col>
      <xdr:colOff>1993372</xdr:colOff>
      <xdr:row>20</xdr:row>
      <xdr:rowOff>65722</xdr:rowOff>
    </xdr:from>
    <xdr:to>
      <xdr:col>11</xdr:col>
      <xdr:colOff>1135313</xdr:colOff>
      <xdr:row>22</xdr:row>
      <xdr:rowOff>6161</xdr:rowOff>
    </xdr:to>
    <xdr:pic>
      <xdr:nvPicPr>
        <xdr:cNvPr id="4" name="Image 3">
          <a:extLst>
            <a:ext uri="{FF2B5EF4-FFF2-40B4-BE49-F238E27FC236}">
              <a16:creationId xmlns:a16="http://schemas.microsoft.com/office/drawing/2014/main" id="{EE1B4556-61D9-4C1D-BD76-9388B5319E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542685" y="4471035"/>
          <a:ext cx="1144096" cy="414784"/>
        </a:xfrm>
        <a:prstGeom prst="rect">
          <a:avLst/>
        </a:prstGeom>
      </xdr:spPr>
    </xdr:pic>
    <xdr:clientData/>
  </xdr:twoCellAnchor>
  <xdr:twoCellAnchor editAs="oneCell">
    <xdr:from>
      <xdr:col>10</xdr:col>
      <xdr:colOff>1878423</xdr:colOff>
      <xdr:row>16</xdr:row>
      <xdr:rowOff>61435</xdr:rowOff>
    </xdr:from>
    <xdr:to>
      <xdr:col>11</xdr:col>
      <xdr:colOff>1067850</xdr:colOff>
      <xdr:row>19</xdr:row>
      <xdr:rowOff>103822</xdr:rowOff>
    </xdr:to>
    <xdr:pic>
      <xdr:nvPicPr>
        <xdr:cNvPr id="5" name="Image 4">
          <a:extLst>
            <a:ext uri="{FF2B5EF4-FFF2-40B4-BE49-F238E27FC236}">
              <a16:creationId xmlns:a16="http://schemas.microsoft.com/office/drawing/2014/main" id="{B6126AF1-F9E9-4473-A43E-5260F7C4C0A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27736" y="3609498"/>
          <a:ext cx="1189677" cy="675323"/>
        </a:xfrm>
        <a:prstGeom prst="rect">
          <a:avLst/>
        </a:prstGeom>
      </xdr:spPr>
    </xdr:pic>
    <xdr:clientData/>
  </xdr:twoCellAnchor>
  <xdr:twoCellAnchor editAs="oneCell">
    <xdr:from>
      <xdr:col>9</xdr:col>
      <xdr:colOff>0</xdr:colOff>
      <xdr:row>21</xdr:row>
      <xdr:rowOff>0</xdr:rowOff>
    </xdr:from>
    <xdr:to>
      <xdr:col>9</xdr:col>
      <xdr:colOff>898620</xdr:colOff>
      <xdr:row>23</xdr:row>
      <xdr:rowOff>85248</xdr:rowOff>
    </xdr:to>
    <xdr:pic>
      <xdr:nvPicPr>
        <xdr:cNvPr id="6" name="Image 5">
          <a:extLst>
            <a:ext uri="{FF2B5EF4-FFF2-40B4-BE49-F238E27FC236}">
              <a16:creationId xmlns:a16="http://schemas.microsoft.com/office/drawing/2014/main" id="{4AAF1FA4-FF89-4C0A-B92D-676D253252F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53750" y="4643438"/>
          <a:ext cx="894810" cy="5595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82</xdr:col>
      <xdr:colOff>400049</xdr:colOff>
      <xdr:row>0</xdr:row>
      <xdr:rowOff>0</xdr:rowOff>
    </xdr:from>
    <xdr:to>
      <xdr:col>84</xdr:col>
      <xdr:colOff>114301</xdr:colOff>
      <xdr:row>5</xdr:row>
      <xdr:rowOff>36532</xdr:rowOff>
    </xdr:to>
    <xdr:pic>
      <xdr:nvPicPr>
        <xdr:cNvPr id="52" name="Image 51" descr="Barn PNG, Clipart, Angle, Area, Barn, Black, Black And White Free PNG  Download">
          <a:extLst>
            <a:ext uri="{FF2B5EF4-FFF2-40B4-BE49-F238E27FC236}">
              <a16:creationId xmlns:a16="http://schemas.microsoft.com/office/drawing/2014/main" id="{B3A837C1-A68E-41E3-AE6A-48E28A38E3B8}"/>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24863" y1="25431" x2="24863" y2="25431"/>
                      <a14:foregroundMark x1="51511" y1="34195" x2="51511" y2="34195"/>
                      <a14:foregroundMark x1="48352" y1="53879" x2="48352" y2="53879"/>
                      <a14:foregroundMark x1="38187" y1="62787" x2="38187" y2="62787"/>
                      <a14:foregroundMark x1="50687" y1="70690" x2="50687" y2="70690"/>
                      <a14:foregroundMark x1="59066" y1="58908" x2="59066" y2="58908"/>
                    </a14:backgroundRemoval>
                  </a14:imgEffect>
                </a14:imgLayer>
              </a14:imgProps>
            </a:ext>
            <a:ext uri="{28A0092B-C50C-407E-A947-70E740481C1C}">
              <a14:useLocalDpi xmlns:a14="http://schemas.microsoft.com/office/drawing/2010/main" val="0"/>
            </a:ext>
          </a:extLst>
        </a:blip>
        <a:srcRect/>
        <a:stretch>
          <a:fillRect/>
        </a:stretch>
      </xdr:blipFill>
      <xdr:spPr bwMode="auto">
        <a:xfrm>
          <a:off x="36252149" y="0"/>
          <a:ext cx="685801" cy="655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134</xdr:col>
      <xdr:colOff>192798</xdr:colOff>
      <xdr:row>0</xdr:row>
      <xdr:rowOff>0</xdr:rowOff>
    </xdr:from>
    <xdr:to>
      <xdr:col>135</xdr:col>
      <xdr:colOff>209551</xdr:colOff>
      <xdr:row>4</xdr:row>
      <xdr:rowOff>48883</xdr:rowOff>
    </xdr:to>
    <xdr:pic>
      <xdr:nvPicPr>
        <xdr:cNvPr id="42" name="Image 41" descr="Barn PNG, Clipart, Angle, Area, Barn, Black, Black And White Free PNG  Download">
          <a:extLst>
            <a:ext uri="{FF2B5EF4-FFF2-40B4-BE49-F238E27FC236}">
              <a16:creationId xmlns:a16="http://schemas.microsoft.com/office/drawing/2014/main" id="{E50E451D-CF87-7258-F2A7-1F9833ABC055}"/>
            </a:ext>
          </a:extLst>
        </xdr:cNvPr>
        <xdr:cNvPicPr>
          <a:picLocks noChangeAspect="1" noChangeArrowheads="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24863" y1="25431" x2="24863" y2="25431"/>
                      <a14:foregroundMark x1="51511" y1="34195" x2="51511" y2="34195"/>
                      <a14:foregroundMark x1="48352" y1="53879" x2="48352" y2="53879"/>
                      <a14:foregroundMark x1="38187" y1="62787" x2="38187" y2="62787"/>
                      <a14:foregroundMark x1="50687" y1="70690" x2="50687" y2="70690"/>
                      <a14:foregroundMark x1="59066" y1="58908" x2="59066" y2="58908"/>
                    </a14:backgroundRemoval>
                  </a14:imgEffect>
                </a14:imgLayer>
              </a14:imgProps>
            </a:ext>
            <a:ext uri="{28A0092B-C50C-407E-A947-70E740481C1C}">
              <a14:useLocalDpi xmlns:a14="http://schemas.microsoft.com/office/drawing/2010/main" val="0"/>
            </a:ext>
          </a:extLst>
        </a:blip>
        <a:srcRect/>
        <a:stretch>
          <a:fillRect/>
        </a:stretch>
      </xdr:blipFill>
      <xdr:spPr bwMode="auto">
        <a:xfrm>
          <a:off x="63438798" y="0"/>
          <a:ext cx="569202" cy="544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287563</xdr:colOff>
      <xdr:row>0</xdr:row>
      <xdr:rowOff>42333</xdr:rowOff>
    </xdr:from>
    <xdr:to>
      <xdr:col>32</xdr:col>
      <xdr:colOff>813154</xdr:colOff>
      <xdr:row>4</xdr:row>
      <xdr:rowOff>106080</xdr:rowOff>
    </xdr:to>
    <xdr:pic>
      <xdr:nvPicPr>
        <xdr:cNvPr id="2" name="Image 1" descr="Mouton qui regarde PNG transparents - StickPNG">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0800000" flipV="1">
          <a:off x="18374480" y="42333"/>
          <a:ext cx="525591" cy="571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97972</xdr:colOff>
      <xdr:row>32</xdr:row>
      <xdr:rowOff>23966</xdr:rowOff>
    </xdr:from>
    <xdr:to>
      <xdr:col>32</xdr:col>
      <xdr:colOff>592183</xdr:colOff>
      <xdr:row>36</xdr:row>
      <xdr:rowOff>67185</xdr:rowOff>
    </xdr:to>
    <xdr:pic>
      <xdr:nvPicPr>
        <xdr:cNvPr id="4" name="Image 3" descr="Agneau sur pattes PNG transparents - StickPNG">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7972" y="3681566"/>
          <a:ext cx="478971" cy="498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46</xdr:col>
      <xdr:colOff>369095</xdr:colOff>
      <xdr:row>0</xdr:row>
      <xdr:rowOff>0</xdr:rowOff>
    </xdr:from>
    <xdr:to>
      <xdr:col>47</xdr:col>
      <xdr:colOff>360885</xdr:colOff>
      <xdr:row>4</xdr:row>
      <xdr:rowOff>48780</xdr:rowOff>
    </xdr:to>
    <xdr:pic>
      <xdr:nvPicPr>
        <xdr:cNvPr id="14" name="Image 13" descr="euro PNG Images Transparent Téléchargement Gratuit | PNGMart">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75970" y="0"/>
          <a:ext cx="491852" cy="525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0</xdr:colOff>
      <xdr:row>0</xdr:row>
      <xdr:rowOff>15240</xdr:rowOff>
    </xdr:from>
    <xdr:to>
      <xdr:col>48</xdr:col>
      <xdr:colOff>468425</xdr:colOff>
      <xdr:row>4</xdr:row>
      <xdr:rowOff>63366</xdr:rowOff>
    </xdr:to>
    <xdr:pic>
      <xdr:nvPicPr>
        <xdr:cNvPr id="8" name="Image 7" descr="Agneau sur pattes PNG transparents - StickPNG">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591040" y="15240"/>
          <a:ext cx="478971" cy="492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83</xdr:col>
      <xdr:colOff>251128</xdr:colOff>
      <xdr:row>1</xdr:row>
      <xdr:rowOff>68035</xdr:rowOff>
    </xdr:from>
    <xdr:to>
      <xdr:col>84</xdr:col>
      <xdr:colOff>284580</xdr:colOff>
      <xdr:row>5</xdr:row>
      <xdr:rowOff>38101</xdr:rowOff>
    </xdr:to>
    <xdr:pic>
      <xdr:nvPicPr>
        <xdr:cNvPr id="16" name="Image 15" descr="Botte de foin circulaire PNG transparents - StickPNG">
          <a:extLst>
            <a:ext uri="{FF2B5EF4-FFF2-40B4-BE49-F238E27FC236}">
              <a16:creationId xmlns:a16="http://schemas.microsoft.com/office/drawing/2014/main" id="{00000000-0008-0000-0900-000010000000}"/>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14943"/>
        <a:stretch/>
      </xdr:blipFill>
      <xdr:spPr bwMode="auto">
        <a:xfrm>
          <a:off x="36589003" y="191860"/>
          <a:ext cx="519227" cy="465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25400</xdr:colOff>
      <xdr:row>0</xdr:row>
      <xdr:rowOff>12700</xdr:rowOff>
    </xdr:from>
    <xdr:to>
      <xdr:col>102</xdr:col>
      <xdr:colOff>533972</xdr:colOff>
      <xdr:row>4</xdr:row>
      <xdr:rowOff>66098</xdr:rowOff>
    </xdr:to>
    <xdr:pic>
      <xdr:nvPicPr>
        <xdr:cNvPr id="19" name="Image 18" descr="euro PNG Images Transparent Téléchargement Gratuit | PNGMart">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6690300" y="12700"/>
          <a:ext cx="508572" cy="517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134</xdr:col>
      <xdr:colOff>0</xdr:colOff>
      <xdr:row>1</xdr:row>
      <xdr:rowOff>18225</xdr:rowOff>
    </xdr:from>
    <xdr:to>
      <xdr:col>134</xdr:col>
      <xdr:colOff>381000</xdr:colOff>
      <xdr:row>4</xdr:row>
      <xdr:rowOff>48780</xdr:rowOff>
    </xdr:to>
    <xdr:pic>
      <xdr:nvPicPr>
        <xdr:cNvPr id="20" name="Image 19" descr="euro PNG Images Transparent Téléchargement Gratuit | PNGMart">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3246000" y="142050"/>
          <a:ext cx="381000" cy="402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159</xdr:col>
      <xdr:colOff>28574</xdr:colOff>
      <xdr:row>26</xdr:row>
      <xdr:rowOff>123824</xdr:rowOff>
    </xdr:from>
    <xdr:to>
      <xdr:col>160</xdr:col>
      <xdr:colOff>40175</xdr:colOff>
      <xdr:row>28</xdr:row>
      <xdr:rowOff>78768</xdr:rowOff>
    </xdr:to>
    <xdr:pic>
      <xdr:nvPicPr>
        <xdr:cNvPr id="25" name="Image 24" descr="Télédéclaration du dossier PAC 2019 –">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20110119">
          <a:off x="32156399" y="3324224"/>
          <a:ext cx="568669" cy="188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182</xdr:col>
      <xdr:colOff>152400</xdr:colOff>
      <xdr:row>2</xdr:row>
      <xdr:rowOff>9526</xdr:rowOff>
    </xdr:from>
    <xdr:to>
      <xdr:col>197</xdr:col>
      <xdr:colOff>409575</xdr:colOff>
      <xdr:row>24</xdr:row>
      <xdr:rowOff>85726</xdr:rowOff>
    </xdr:to>
    <xdr:graphicFrame macro="">
      <xdr:nvGraphicFramePr>
        <xdr:cNvPr id="73" name="Graphique 72">
          <a:extLst>
            <a:ext uri="{FF2B5EF4-FFF2-40B4-BE49-F238E27FC236}">
              <a16:creationId xmlns:a16="http://schemas.microsoft.com/office/drawing/2014/main" id="{A2161F44-FBFA-5868-E786-001D3A271B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118</xdr:col>
      <xdr:colOff>155350</xdr:colOff>
      <xdr:row>6</xdr:row>
      <xdr:rowOff>19292</xdr:rowOff>
    </xdr:from>
    <xdr:to>
      <xdr:col>128</xdr:col>
      <xdr:colOff>284686</xdr:colOff>
      <xdr:row>44</xdr:row>
      <xdr:rowOff>0</xdr:rowOff>
    </xdr:to>
    <xdr:graphicFrame macro="">
      <xdr:nvGraphicFramePr>
        <xdr:cNvPr id="17" name="Graphique 16">
          <a:extLst>
            <a:ext uri="{FF2B5EF4-FFF2-40B4-BE49-F238E27FC236}">
              <a16:creationId xmlns:a16="http://schemas.microsoft.com/office/drawing/2014/main" id="{00000000-0008-0000-09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117</xdr:col>
      <xdr:colOff>533401</xdr:colOff>
      <xdr:row>0</xdr:row>
      <xdr:rowOff>0</xdr:rowOff>
    </xdr:from>
    <xdr:to>
      <xdr:col>118</xdr:col>
      <xdr:colOff>479161</xdr:colOff>
      <xdr:row>4</xdr:row>
      <xdr:rowOff>48780</xdr:rowOff>
    </xdr:to>
    <xdr:pic>
      <xdr:nvPicPr>
        <xdr:cNvPr id="18" name="Image 17" descr="euro PNG Images Transparent Téléchargement Gratuit | PNGMart">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5498315" y="0"/>
          <a:ext cx="500380" cy="506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182</xdr:col>
      <xdr:colOff>195943</xdr:colOff>
      <xdr:row>25</xdr:row>
      <xdr:rowOff>104775</xdr:rowOff>
    </xdr:from>
    <xdr:to>
      <xdr:col>197</xdr:col>
      <xdr:colOff>304800</xdr:colOff>
      <xdr:row>49</xdr:row>
      <xdr:rowOff>19050</xdr:rowOff>
    </xdr:to>
    <xdr:graphicFrame macro="">
      <xdr:nvGraphicFramePr>
        <xdr:cNvPr id="22" name="Graphique 21">
          <a:extLst>
            <a:ext uri="{FF2B5EF4-FFF2-40B4-BE49-F238E27FC236}">
              <a16:creationId xmlns:a16="http://schemas.microsoft.com/office/drawing/2014/main" id="{00000000-0008-0000-09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0</xdr:col>
      <xdr:colOff>0</xdr:colOff>
      <xdr:row>1</xdr:row>
      <xdr:rowOff>111124</xdr:rowOff>
    </xdr:from>
    <xdr:to>
      <xdr:col>2</xdr:col>
      <xdr:colOff>412750</xdr:colOff>
      <xdr:row>15</xdr:row>
      <xdr:rowOff>8613</xdr:rowOff>
    </xdr:to>
    <xdr:pic>
      <xdr:nvPicPr>
        <xdr:cNvPr id="3" name="Imag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0" y="238124"/>
          <a:ext cx="1524000" cy="1675489"/>
        </a:xfrm>
        <a:prstGeom prst="rect">
          <a:avLst/>
        </a:prstGeom>
      </xdr:spPr>
    </xdr:pic>
    <xdr:clientData/>
  </xdr:twoCellAnchor>
  <xdr:twoCellAnchor>
    <xdr:from>
      <xdr:col>12</xdr:col>
      <xdr:colOff>528494</xdr:colOff>
      <xdr:row>10</xdr:row>
      <xdr:rowOff>3174</xdr:rowOff>
    </xdr:from>
    <xdr:to>
      <xdr:col>15</xdr:col>
      <xdr:colOff>36078</xdr:colOff>
      <xdr:row>14</xdr:row>
      <xdr:rowOff>78962</xdr:rowOff>
    </xdr:to>
    <xdr:pic>
      <xdr:nvPicPr>
        <xdr:cNvPr id="23" name="Image 132" descr="Region_SUD_couleur">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t="10921" b="12811"/>
        <a:stretch>
          <a:fillRect/>
        </a:stretch>
      </xdr:blipFill>
      <xdr:spPr bwMode="auto">
        <a:xfrm>
          <a:off x="7291244" y="1273174"/>
          <a:ext cx="1222084" cy="58378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198</xdr:col>
      <xdr:colOff>337458</xdr:colOff>
      <xdr:row>0</xdr:row>
      <xdr:rowOff>0</xdr:rowOff>
    </xdr:from>
    <xdr:to>
      <xdr:col>199</xdr:col>
      <xdr:colOff>283170</xdr:colOff>
      <xdr:row>4</xdr:row>
      <xdr:rowOff>50957</xdr:rowOff>
    </xdr:to>
    <xdr:pic>
      <xdr:nvPicPr>
        <xdr:cNvPr id="28" name="Image 27" descr="Analytics, bars, graph, points icon - Download on Iconfinder">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63126258" y="0"/>
          <a:ext cx="495974" cy="50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433490</xdr:colOff>
      <xdr:row>3</xdr:row>
      <xdr:rowOff>124732</xdr:rowOff>
    </xdr:from>
    <xdr:to>
      <xdr:col>4</xdr:col>
      <xdr:colOff>217734</xdr:colOff>
      <xdr:row>8</xdr:row>
      <xdr:rowOff>118491</xdr:rowOff>
    </xdr:to>
    <xdr:pic>
      <xdr:nvPicPr>
        <xdr:cNvPr id="5" name="Imag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544740" y="505732"/>
          <a:ext cx="895494" cy="628759"/>
        </a:xfrm>
        <a:prstGeom prst="rect">
          <a:avLst/>
        </a:prstGeom>
      </xdr:spPr>
    </xdr:pic>
    <xdr:clientData/>
  </xdr:twoCellAnchor>
  <xdr:twoCellAnchor editAs="oneCell">
    <xdr:from>
      <xdr:col>2</xdr:col>
      <xdr:colOff>509639</xdr:colOff>
      <xdr:row>10</xdr:row>
      <xdr:rowOff>83186</xdr:rowOff>
    </xdr:from>
    <xdr:to>
      <xdr:col>4</xdr:col>
      <xdr:colOff>87169</xdr:colOff>
      <xdr:row>14</xdr:row>
      <xdr:rowOff>40068</xdr:rowOff>
    </xdr:to>
    <xdr:pic>
      <xdr:nvPicPr>
        <xdr:cNvPr id="6" name="Imag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620889" y="1353186"/>
          <a:ext cx="688780" cy="464882"/>
        </a:xfrm>
        <a:prstGeom prst="rect">
          <a:avLst/>
        </a:prstGeom>
      </xdr:spPr>
    </xdr:pic>
    <xdr:clientData/>
  </xdr:twoCellAnchor>
  <xdr:twoCellAnchor editAs="oneCell">
    <xdr:from>
      <xdr:col>12</xdr:col>
      <xdr:colOff>434669</xdr:colOff>
      <xdr:row>2</xdr:row>
      <xdr:rowOff>57018</xdr:rowOff>
    </xdr:from>
    <xdr:to>
      <xdr:col>15</xdr:col>
      <xdr:colOff>461117</xdr:colOff>
      <xdr:row>7</xdr:row>
      <xdr:rowOff>110776</xdr:rowOff>
    </xdr:to>
    <xdr:pic>
      <xdr:nvPicPr>
        <xdr:cNvPr id="7" name="Imag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197419" y="311018"/>
          <a:ext cx="1740948" cy="688758"/>
        </a:xfrm>
        <a:prstGeom prst="rect">
          <a:avLst/>
        </a:prstGeom>
      </xdr:spPr>
    </xdr:pic>
    <xdr:clientData/>
  </xdr:twoCellAnchor>
  <xdr:twoCellAnchor>
    <xdr:from>
      <xdr:col>16</xdr:col>
      <xdr:colOff>165313</xdr:colOff>
      <xdr:row>4</xdr:row>
      <xdr:rowOff>104353</xdr:rowOff>
    </xdr:from>
    <xdr:to>
      <xdr:col>31</xdr:col>
      <xdr:colOff>693963</xdr:colOff>
      <xdr:row>51</xdr:row>
      <xdr:rowOff>40822</xdr:rowOff>
    </xdr:to>
    <xdr:sp macro="" textlink="">
      <xdr:nvSpPr>
        <xdr:cNvPr id="9" name="ZoneTexte 8">
          <a:extLst>
            <a:ext uri="{FF2B5EF4-FFF2-40B4-BE49-F238E27FC236}">
              <a16:creationId xmlns:a16="http://schemas.microsoft.com/office/drawing/2014/main" id="{00000000-0008-0000-0900-000009000000}"/>
            </a:ext>
          </a:extLst>
        </xdr:cNvPr>
        <xdr:cNvSpPr txBox="1"/>
      </xdr:nvSpPr>
      <xdr:spPr>
        <a:xfrm>
          <a:off x="9091599" y="594210"/>
          <a:ext cx="8897043" cy="5678683"/>
        </a:xfrm>
        <a:prstGeom prst="rect">
          <a:avLst/>
        </a:prstGeom>
        <a:noFill/>
        <a:ln w="28575" cmpd="sng">
          <a:solidFill>
            <a:srgbClr val="8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200"/>
        </a:p>
      </xdr:txBody>
    </xdr:sp>
    <xdr:clientData/>
  </xdr:twoCellAnchor>
  <xdr:twoCellAnchor>
    <xdr:from>
      <xdr:col>56</xdr:col>
      <xdr:colOff>154781</xdr:colOff>
      <xdr:row>3</xdr:row>
      <xdr:rowOff>25513</xdr:rowOff>
    </xdr:from>
    <xdr:to>
      <xdr:col>63</xdr:col>
      <xdr:colOff>411268</xdr:colOff>
      <xdr:row>49</xdr:row>
      <xdr:rowOff>11905</xdr:rowOff>
    </xdr:to>
    <xdr:graphicFrame macro="">
      <xdr:nvGraphicFramePr>
        <xdr:cNvPr id="10" name="Graphique 9">
          <a:extLst>
            <a:ext uri="{FF2B5EF4-FFF2-40B4-BE49-F238E27FC236}">
              <a16:creationId xmlns:a16="http://schemas.microsoft.com/office/drawing/2014/main" id="{D76A9663-FA09-C1F2-4528-13B4C610BD97}"/>
            </a:ext>
            <a:ext uri="{147F2762-F138-4A5C-976F-8EAC2B608ADB}">
              <a16:predDERef xmlns:a16="http://schemas.microsoft.com/office/drawing/2014/main" pred="{00000000-0008-0000-09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190</xdr:col>
      <xdr:colOff>162266</xdr:colOff>
      <xdr:row>15</xdr:row>
      <xdr:rowOff>91212</xdr:rowOff>
    </xdr:from>
    <xdr:to>
      <xdr:col>190</xdr:col>
      <xdr:colOff>312436</xdr:colOff>
      <xdr:row>45</xdr:row>
      <xdr:rowOff>62150</xdr:rowOff>
    </xdr:to>
    <xdr:sp macro="" textlink="">
      <xdr:nvSpPr>
        <xdr:cNvPr id="74" name="Flèche : bas 73">
          <a:extLst>
            <a:ext uri="{FF2B5EF4-FFF2-40B4-BE49-F238E27FC236}">
              <a16:creationId xmlns:a16="http://schemas.microsoft.com/office/drawing/2014/main" id="{843FD7AD-61A8-EDF4-072F-F4414D3590D5}"/>
            </a:ext>
          </a:extLst>
        </xdr:cNvPr>
        <xdr:cNvSpPr/>
      </xdr:nvSpPr>
      <xdr:spPr>
        <a:xfrm rot="1849964">
          <a:off x="76209866" y="2091462"/>
          <a:ext cx="150170" cy="3971438"/>
        </a:xfrm>
        <a:prstGeom prst="downArrow">
          <a:avLst/>
        </a:prstGeom>
        <a:solidFill>
          <a:srgbClr val="00B050"/>
        </a:solidFill>
        <a:ln w="6350">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102</xdr:col>
      <xdr:colOff>228600</xdr:colOff>
      <xdr:row>1</xdr:row>
      <xdr:rowOff>448</xdr:rowOff>
    </xdr:from>
    <xdr:to>
      <xdr:col>103</xdr:col>
      <xdr:colOff>153482</xdr:colOff>
      <xdr:row>5</xdr:row>
      <xdr:rowOff>14057</xdr:rowOff>
    </xdr:to>
    <xdr:pic>
      <xdr:nvPicPr>
        <xdr:cNvPr id="76" name="Image 75" descr="Mouton qui regarde PNG transparents - StickPNG">
          <a:extLst>
            <a:ext uri="{FF2B5EF4-FFF2-40B4-BE49-F238E27FC236}">
              <a16:creationId xmlns:a16="http://schemas.microsoft.com/office/drawing/2014/main" id="{9168DFB8-C95B-4F05-AD80-AF8BDB13298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0800000" flipH="1" flipV="1">
          <a:off x="36893500" y="127448"/>
          <a:ext cx="483681" cy="489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171</xdr:col>
      <xdr:colOff>439420</xdr:colOff>
      <xdr:row>6</xdr:row>
      <xdr:rowOff>15240</xdr:rowOff>
    </xdr:from>
    <xdr:to>
      <xdr:col>172</xdr:col>
      <xdr:colOff>121920</xdr:colOff>
      <xdr:row>7</xdr:row>
      <xdr:rowOff>114300</xdr:rowOff>
    </xdr:to>
    <xdr:sp macro="" textlink="">
      <xdr:nvSpPr>
        <xdr:cNvPr id="77" name="Signe Plus 76">
          <a:extLst>
            <a:ext uri="{FF2B5EF4-FFF2-40B4-BE49-F238E27FC236}">
              <a16:creationId xmlns:a16="http://schemas.microsoft.com/office/drawing/2014/main" id="{B046991B-0E7A-F16F-0232-9F9948D008CF}"/>
            </a:ext>
          </a:extLst>
        </xdr:cNvPr>
        <xdr:cNvSpPr/>
      </xdr:nvSpPr>
      <xdr:spPr>
        <a:xfrm>
          <a:off x="66421000" y="792480"/>
          <a:ext cx="238760" cy="228600"/>
        </a:xfrm>
        <a:prstGeom prst="mathPlus">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171</xdr:col>
      <xdr:colOff>441960</xdr:colOff>
      <xdr:row>16</xdr:row>
      <xdr:rowOff>15240</xdr:rowOff>
    </xdr:from>
    <xdr:to>
      <xdr:col>172</xdr:col>
      <xdr:colOff>124460</xdr:colOff>
      <xdr:row>17</xdr:row>
      <xdr:rowOff>114300</xdr:rowOff>
    </xdr:to>
    <xdr:sp macro="" textlink="">
      <xdr:nvSpPr>
        <xdr:cNvPr id="78" name="Signe Plus 77">
          <a:extLst>
            <a:ext uri="{FF2B5EF4-FFF2-40B4-BE49-F238E27FC236}">
              <a16:creationId xmlns:a16="http://schemas.microsoft.com/office/drawing/2014/main" id="{3328B3CF-4020-48E7-A9DB-BFA5B5AF9771}"/>
            </a:ext>
          </a:extLst>
        </xdr:cNvPr>
        <xdr:cNvSpPr/>
      </xdr:nvSpPr>
      <xdr:spPr>
        <a:xfrm>
          <a:off x="66423540" y="2087880"/>
          <a:ext cx="238760" cy="228600"/>
        </a:xfrm>
        <a:prstGeom prst="mathPlus">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171</xdr:col>
      <xdr:colOff>419100</xdr:colOff>
      <xdr:row>21</xdr:row>
      <xdr:rowOff>38100</xdr:rowOff>
    </xdr:from>
    <xdr:to>
      <xdr:col>172</xdr:col>
      <xdr:colOff>129540</xdr:colOff>
      <xdr:row>22</xdr:row>
      <xdr:rowOff>91440</xdr:rowOff>
    </xdr:to>
    <xdr:sp macro="" textlink="">
      <xdr:nvSpPr>
        <xdr:cNvPr id="80" name="Signe Moins 79">
          <a:extLst>
            <a:ext uri="{FF2B5EF4-FFF2-40B4-BE49-F238E27FC236}">
              <a16:creationId xmlns:a16="http://schemas.microsoft.com/office/drawing/2014/main" id="{3C6DA6B1-B859-52D2-9190-E11BBA7D29C1}"/>
            </a:ext>
          </a:extLst>
        </xdr:cNvPr>
        <xdr:cNvSpPr/>
      </xdr:nvSpPr>
      <xdr:spPr>
        <a:xfrm>
          <a:off x="66400680" y="2758440"/>
          <a:ext cx="266700" cy="182880"/>
        </a:xfrm>
        <a:prstGeom prst="mathMinus">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171</xdr:col>
      <xdr:colOff>419100</xdr:colOff>
      <xdr:row>32</xdr:row>
      <xdr:rowOff>114300</xdr:rowOff>
    </xdr:from>
    <xdr:to>
      <xdr:col>172</xdr:col>
      <xdr:colOff>129540</xdr:colOff>
      <xdr:row>34</xdr:row>
      <xdr:rowOff>38100</xdr:rowOff>
    </xdr:to>
    <xdr:sp macro="" textlink="">
      <xdr:nvSpPr>
        <xdr:cNvPr id="81" name="Signe Moins 80">
          <a:extLst>
            <a:ext uri="{FF2B5EF4-FFF2-40B4-BE49-F238E27FC236}">
              <a16:creationId xmlns:a16="http://schemas.microsoft.com/office/drawing/2014/main" id="{0F42EA0A-A7C1-4971-BDFA-6FF3B42E840F}"/>
            </a:ext>
          </a:extLst>
        </xdr:cNvPr>
        <xdr:cNvSpPr/>
      </xdr:nvSpPr>
      <xdr:spPr>
        <a:xfrm>
          <a:off x="66400680" y="4259580"/>
          <a:ext cx="266700" cy="182880"/>
        </a:xfrm>
        <a:prstGeom prst="mathMinus">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174</xdr:col>
      <xdr:colOff>160020</xdr:colOff>
      <xdr:row>38</xdr:row>
      <xdr:rowOff>106680</xdr:rowOff>
    </xdr:from>
    <xdr:to>
      <xdr:col>174</xdr:col>
      <xdr:colOff>426720</xdr:colOff>
      <xdr:row>40</xdr:row>
      <xdr:rowOff>30480</xdr:rowOff>
    </xdr:to>
    <xdr:sp macro="" textlink="">
      <xdr:nvSpPr>
        <xdr:cNvPr id="82" name="Signe Moins 81">
          <a:extLst>
            <a:ext uri="{FF2B5EF4-FFF2-40B4-BE49-F238E27FC236}">
              <a16:creationId xmlns:a16="http://schemas.microsoft.com/office/drawing/2014/main" id="{0E3B2B5C-DC37-4A75-83BA-7E2056D7413A}"/>
            </a:ext>
          </a:extLst>
        </xdr:cNvPr>
        <xdr:cNvSpPr/>
      </xdr:nvSpPr>
      <xdr:spPr>
        <a:xfrm>
          <a:off x="67810380" y="5029200"/>
          <a:ext cx="266700" cy="182880"/>
        </a:xfrm>
        <a:prstGeom prst="mathMinus">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171</xdr:col>
      <xdr:colOff>403860</xdr:colOff>
      <xdr:row>11</xdr:row>
      <xdr:rowOff>45720</xdr:rowOff>
    </xdr:from>
    <xdr:to>
      <xdr:col>172</xdr:col>
      <xdr:colOff>160020</xdr:colOff>
      <xdr:row>12</xdr:row>
      <xdr:rowOff>114300</xdr:rowOff>
    </xdr:to>
    <xdr:sp macro="" textlink="">
      <xdr:nvSpPr>
        <xdr:cNvPr id="85" name="Est égal à 84">
          <a:extLst>
            <a:ext uri="{FF2B5EF4-FFF2-40B4-BE49-F238E27FC236}">
              <a16:creationId xmlns:a16="http://schemas.microsoft.com/office/drawing/2014/main" id="{94560370-131D-DDE0-D819-8BFF593C256C}"/>
            </a:ext>
          </a:extLst>
        </xdr:cNvPr>
        <xdr:cNvSpPr/>
      </xdr:nvSpPr>
      <xdr:spPr>
        <a:xfrm>
          <a:off x="66385440" y="1470660"/>
          <a:ext cx="312420" cy="198120"/>
        </a:xfrm>
        <a:prstGeom prst="mathEqual">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171</xdr:col>
      <xdr:colOff>403860</xdr:colOff>
      <xdr:row>26</xdr:row>
      <xdr:rowOff>106680</xdr:rowOff>
    </xdr:from>
    <xdr:to>
      <xdr:col>172</xdr:col>
      <xdr:colOff>160020</xdr:colOff>
      <xdr:row>28</xdr:row>
      <xdr:rowOff>45720</xdr:rowOff>
    </xdr:to>
    <xdr:sp macro="" textlink="">
      <xdr:nvSpPr>
        <xdr:cNvPr id="87" name="Est égal à 86">
          <a:extLst>
            <a:ext uri="{FF2B5EF4-FFF2-40B4-BE49-F238E27FC236}">
              <a16:creationId xmlns:a16="http://schemas.microsoft.com/office/drawing/2014/main" id="{145C3032-E291-4E1A-BA99-D028B5914731}"/>
            </a:ext>
          </a:extLst>
        </xdr:cNvPr>
        <xdr:cNvSpPr/>
      </xdr:nvSpPr>
      <xdr:spPr>
        <a:xfrm>
          <a:off x="66385440" y="3474720"/>
          <a:ext cx="312420" cy="198120"/>
        </a:xfrm>
        <a:prstGeom prst="mathEqual">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175</xdr:col>
      <xdr:colOff>411480</xdr:colOff>
      <xdr:row>44</xdr:row>
      <xdr:rowOff>22860</xdr:rowOff>
    </xdr:from>
    <xdr:to>
      <xdr:col>176</xdr:col>
      <xdr:colOff>167640</xdr:colOff>
      <xdr:row>45</xdr:row>
      <xdr:rowOff>91440</xdr:rowOff>
    </xdr:to>
    <xdr:sp macro="" textlink="">
      <xdr:nvSpPr>
        <xdr:cNvPr id="88" name="Est égal à 87">
          <a:extLst>
            <a:ext uri="{FF2B5EF4-FFF2-40B4-BE49-F238E27FC236}">
              <a16:creationId xmlns:a16="http://schemas.microsoft.com/office/drawing/2014/main" id="{52E91E59-85CF-4EB7-8FBD-9C9AE674811E}"/>
            </a:ext>
          </a:extLst>
        </xdr:cNvPr>
        <xdr:cNvSpPr/>
      </xdr:nvSpPr>
      <xdr:spPr>
        <a:xfrm>
          <a:off x="68618100" y="5722620"/>
          <a:ext cx="312420" cy="198120"/>
        </a:xfrm>
        <a:prstGeom prst="mathEqual">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168</xdr:col>
      <xdr:colOff>403860</xdr:colOff>
      <xdr:row>38</xdr:row>
      <xdr:rowOff>22860</xdr:rowOff>
    </xdr:from>
    <xdr:to>
      <xdr:col>169</xdr:col>
      <xdr:colOff>160020</xdr:colOff>
      <xdr:row>39</xdr:row>
      <xdr:rowOff>91440</xdr:rowOff>
    </xdr:to>
    <xdr:sp macro="" textlink="">
      <xdr:nvSpPr>
        <xdr:cNvPr id="89" name="Est égal à 88">
          <a:extLst>
            <a:ext uri="{FF2B5EF4-FFF2-40B4-BE49-F238E27FC236}">
              <a16:creationId xmlns:a16="http://schemas.microsoft.com/office/drawing/2014/main" id="{2F77A264-F002-4B4E-81C6-1E7B3A492A09}"/>
            </a:ext>
            <a:ext uri="{147F2762-F138-4A5C-976F-8EAC2B608ADB}">
              <a16:predDERef xmlns:a16="http://schemas.microsoft.com/office/drawing/2014/main" pred="{52E91E59-85CF-4EB7-8FBD-9C9AE674811E}"/>
            </a:ext>
          </a:extLst>
        </xdr:cNvPr>
        <xdr:cNvSpPr/>
      </xdr:nvSpPr>
      <xdr:spPr>
        <a:xfrm>
          <a:off x="64716660" y="5722620"/>
          <a:ext cx="312420" cy="198120"/>
        </a:xfrm>
        <a:prstGeom prst="mathEqual">
          <a:avLst/>
        </a:prstGeom>
        <a:solidFill>
          <a:schemeClr val="accent5"/>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141</xdr:col>
      <xdr:colOff>423333</xdr:colOff>
      <xdr:row>3</xdr:row>
      <xdr:rowOff>63499</xdr:rowOff>
    </xdr:from>
    <xdr:to>
      <xdr:col>149</xdr:col>
      <xdr:colOff>423333</xdr:colOff>
      <xdr:row>51</xdr:row>
      <xdr:rowOff>107155</xdr:rowOff>
    </xdr:to>
    <xdr:graphicFrame macro="">
      <xdr:nvGraphicFramePr>
        <xdr:cNvPr id="12" name="Graphique 11">
          <a:extLst>
            <a:ext uri="{FF2B5EF4-FFF2-40B4-BE49-F238E27FC236}">
              <a16:creationId xmlns:a16="http://schemas.microsoft.com/office/drawing/2014/main" id="{0D8DDFA7-07A9-E2C8-ABC9-B2BE861AB5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94</xdr:col>
      <xdr:colOff>24834</xdr:colOff>
      <xdr:row>26</xdr:row>
      <xdr:rowOff>21430</xdr:rowOff>
    </xdr:from>
    <xdr:to>
      <xdr:col>101</xdr:col>
      <xdr:colOff>310584</xdr:colOff>
      <xdr:row>49</xdr:row>
      <xdr:rowOff>26842</xdr:rowOff>
    </xdr:to>
    <xdr:graphicFrame macro="">
      <xdr:nvGraphicFramePr>
        <xdr:cNvPr id="13" name="Graphique 12">
          <a:extLst>
            <a:ext uri="{FF2B5EF4-FFF2-40B4-BE49-F238E27FC236}">
              <a16:creationId xmlns:a16="http://schemas.microsoft.com/office/drawing/2014/main" id="{2147C4E4-CF79-81E8-C0CE-A3E5979ACA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214</xdr:col>
      <xdr:colOff>51956</xdr:colOff>
      <xdr:row>3</xdr:row>
      <xdr:rowOff>866</xdr:rowOff>
    </xdr:from>
    <xdr:to>
      <xdr:col>220</xdr:col>
      <xdr:colOff>381001</xdr:colOff>
      <xdr:row>18</xdr:row>
      <xdr:rowOff>103910</xdr:rowOff>
    </xdr:to>
    <xdr:graphicFrame macro="">
      <xdr:nvGraphicFramePr>
        <xdr:cNvPr id="15" name="Graphique 14">
          <a:extLst>
            <a:ext uri="{FF2B5EF4-FFF2-40B4-BE49-F238E27FC236}">
              <a16:creationId xmlns:a16="http://schemas.microsoft.com/office/drawing/2014/main" id="{FB07CBC1-218A-9EC2-B3ED-DE04B41A6F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221</xdr:col>
      <xdr:colOff>173183</xdr:colOff>
      <xdr:row>3</xdr:row>
      <xdr:rowOff>8658</xdr:rowOff>
    </xdr:from>
    <xdr:to>
      <xdr:col>227</xdr:col>
      <xdr:colOff>502228</xdr:colOff>
      <xdr:row>18</xdr:row>
      <xdr:rowOff>111702</xdr:rowOff>
    </xdr:to>
    <xdr:graphicFrame macro="">
      <xdr:nvGraphicFramePr>
        <xdr:cNvPr id="24" name="Graphique 23">
          <a:extLst>
            <a:ext uri="{FF2B5EF4-FFF2-40B4-BE49-F238E27FC236}">
              <a16:creationId xmlns:a16="http://schemas.microsoft.com/office/drawing/2014/main" id="{C4634BCC-8454-4C69-9372-FAFD0841A3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214</xdr:col>
      <xdr:colOff>77931</xdr:colOff>
      <xdr:row>19</xdr:row>
      <xdr:rowOff>77933</xdr:rowOff>
    </xdr:from>
    <xdr:to>
      <xdr:col>220</xdr:col>
      <xdr:colOff>406976</xdr:colOff>
      <xdr:row>35</xdr:row>
      <xdr:rowOff>59749</xdr:rowOff>
    </xdr:to>
    <xdr:graphicFrame macro="">
      <xdr:nvGraphicFramePr>
        <xdr:cNvPr id="26" name="Graphique 25">
          <a:extLst>
            <a:ext uri="{FF2B5EF4-FFF2-40B4-BE49-F238E27FC236}">
              <a16:creationId xmlns:a16="http://schemas.microsoft.com/office/drawing/2014/main" id="{13B91786-DDB4-4A26-BE77-8E7DD2A474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221</xdr:col>
      <xdr:colOff>173182</xdr:colOff>
      <xdr:row>19</xdr:row>
      <xdr:rowOff>86591</xdr:rowOff>
    </xdr:from>
    <xdr:to>
      <xdr:col>227</xdr:col>
      <xdr:colOff>502227</xdr:colOff>
      <xdr:row>35</xdr:row>
      <xdr:rowOff>68407</xdr:rowOff>
    </xdr:to>
    <xdr:graphicFrame macro="">
      <xdr:nvGraphicFramePr>
        <xdr:cNvPr id="27" name="Graphique 26">
          <a:extLst>
            <a:ext uri="{FF2B5EF4-FFF2-40B4-BE49-F238E27FC236}">
              <a16:creationId xmlns:a16="http://schemas.microsoft.com/office/drawing/2014/main" id="{69A177DE-9C1A-44DF-B180-AB5A15AE67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214</xdr:col>
      <xdr:colOff>69273</xdr:colOff>
      <xdr:row>36</xdr:row>
      <xdr:rowOff>34637</xdr:rowOff>
    </xdr:from>
    <xdr:to>
      <xdr:col>220</xdr:col>
      <xdr:colOff>398318</xdr:colOff>
      <xdr:row>52</xdr:row>
      <xdr:rowOff>33772</xdr:rowOff>
    </xdr:to>
    <xdr:graphicFrame macro="">
      <xdr:nvGraphicFramePr>
        <xdr:cNvPr id="29" name="Graphique 28">
          <a:extLst>
            <a:ext uri="{FF2B5EF4-FFF2-40B4-BE49-F238E27FC236}">
              <a16:creationId xmlns:a16="http://schemas.microsoft.com/office/drawing/2014/main" id="{9266E964-8114-46C7-A790-D23C27ACCA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221</xdr:col>
      <xdr:colOff>173182</xdr:colOff>
      <xdr:row>36</xdr:row>
      <xdr:rowOff>43295</xdr:rowOff>
    </xdr:from>
    <xdr:to>
      <xdr:col>227</xdr:col>
      <xdr:colOff>502227</xdr:colOff>
      <xdr:row>52</xdr:row>
      <xdr:rowOff>42430</xdr:rowOff>
    </xdr:to>
    <xdr:graphicFrame macro="">
      <xdr:nvGraphicFramePr>
        <xdr:cNvPr id="30" name="Graphique 29">
          <a:extLst>
            <a:ext uri="{FF2B5EF4-FFF2-40B4-BE49-F238E27FC236}">
              <a16:creationId xmlns:a16="http://schemas.microsoft.com/office/drawing/2014/main" id="{92B6C837-BD2A-4F32-8323-8DA0866FC7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230</xdr:col>
      <xdr:colOff>0</xdr:colOff>
      <xdr:row>3</xdr:row>
      <xdr:rowOff>0</xdr:rowOff>
    </xdr:from>
    <xdr:to>
      <xdr:col>236</xdr:col>
      <xdr:colOff>380999</xdr:colOff>
      <xdr:row>18</xdr:row>
      <xdr:rowOff>103044</xdr:rowOff>
    </xdr:to>
    <xdr:graphicFrame macro="">
      <xdr:nvGraphicFramePr>
        <xdr:cNvPr id="31" name="Graphique 30">
          <a:extLst>
            <a:ext uri="{FF2B5EF4-FFF2-40B4-BE49-F238E27FC236}">
              <a16:creationId xmlns:a16="http://schemas.microsoft.com/office/drawing/2014/main" id="{4604556C-6BD7-4ADE-9CAF-F8234AF4F2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237</xdr:col>
      <xdr:colOff>181840</xdr:colOff>
      <xdr:row>3</xdr:row>
      <xdr:rowOff>7792</xdr:rowOff>
    </xdr:from>
    <xdr:to>
      <xdr:col>244</xdr:col>
      <xdr:colOff>17317</xdr:colOff>
      <xdr:row>18</xdr:row>
      <xdr:rowOff>110836</xdr:rowOff>
    </xdr:to>
    <xdr:graphicFrame macro="">
      <xdr:nvGraphicFramePr>
        <xdr:cNvPr id="32" name="Graphique 31">
          <a:extLst>
            <a:ext uri="{FF2B5EF4-FFF2-40B4-BE49-F238E27FC236}">
              <a16:creationId xmlns:a16="http://schemas.microsoft.com/office/drawing/2014/main" id="{C8D94D4A-0E50-4921-8CAA-38D68C7EEF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230</xdr:col>
      <xdr:colOff>25975</xdr:colOff>
      <xdr:row>19</xdr:row>
      <xdr:rowOff>77067</xdr:rowOff>
    </xdr:from>
    <xdr:to>
      <xdr:col>236</xdr:col>
      <xdr:colOff>406974</xdr:colOff>
      <xdr:row>35</xdr:row>
      <xdr:rowOff>58883</xdr:rowOff>
    </xdr:to>
    <xdr:graphicFrame macro="">
      <xdr:nvGraphicFramePr>
        <xdr:cNvPr id="33" name="Graphique 32">
          <a:extLst>
            <a:ext uri="{FF2B5EF4-FFF2-40B4-BE49-F238E27FC236}">
              <a16:creationId xmlns:a16="http://schemas.microsoft.com/office/drawing/2014/main" id="{689ED3B6-A902-48BF-B6D5-3125385E9D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237</xdr:col>
      <xdr:colOff>181839</xdr:colOff>
      <xdr:row>19</xdr:row>
      <xdr:rowOff>85725</xdr:rowOff>
    </xdr:from>
    <xdr:to>
      <xdr:col>244</xdr:col>
      <xdr:colOff>17316</xdr:colOff>
      <xdr:row>35</xdr:row>
      <xdr:rowOff>67541</xdr:rowOff>
    </xdr:to>
    <xdr:graphicFrame macro="">
      <xdr:nvGraphicFramePr>
        <xdr:cNvPr id="34" name="Graphique 33">
          <a:extLst>
            <a:ext uri="{FF2B5EF4-FFF2-40B4-BE49-F238E27FC236}">
              <a16:creationId xmlns:a16="http://schemas.microsoft.com/office/drawing/2014/main" id="{6BB1E6DC-4BF1-4D08-9DD6-3549C8919B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237</xdr:col>
      <xdr:colOff>181839</xdr:colOff>
      <xdr:row>36</xdr:row>
      <xdr:rowOff>42429</xdr:rowOff>
    </xdr:from>
    <xdr:to>
      <xdr:col>244</xdr:col>
      <xdr:colOff>17316</xdr:colOff>
      <xdr:row>52</xdr:row>
      <xdr:rowOff>41564</xdr:rowOff>
    </xdr:to>
    <xdr:graphicFrame macro="">
      <xdr:nvGraphicFramePr>
        <xdr:cNvPr id="36" name="Graphique 35">
          <a:extLst>
            <a:ext uri="{FF2B5EF4-FFF2-40B4-BE49-F238E27FC236}">
              <a16:creationId xmlns:a16="http://schemas.microsoft.com/office/drawing/2014/main" id="{F0D18909-4B2D-437F-820D-11011BF720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230</xdr:col>
      <xdr:colOff>11906</xdr:colOff>
      <xdr:row>36</xdr:row>
      <xdr:rowOff>47625</xdr:rowOff>
    </xdr:from>
    <xdr:to>
      <xdr:col>236</xdr:col>
      <xdr:colOff>392905</xdr:colOff>
      <xdr:row>52</xdr:row>
      <xdr:rowOff>41347</xdr:rowOff>
    </xdr:to>
    <xdr:graphicFrame macro="">
      <xdr:nvGraphicFramePr>
        <xdr:cNvPr id="37" name="Graphique 36">
          <a:extLst>
            <a:ext uri="{FF2B5EF4-FFF2-40B4-BE49-F238E27FC236}">
              <a16:creationId xmlns:a16="http://schemas.microsoft.com/office/drawing/2014/main" id="{494FCB1B-F968-4D42-BD9A-6E407BB00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64</xdr:col>
      <xdr:colOff>47625</xdr:colOff>
      <xdr:row>0</xdr:row>
      <xdr:rowOff>35719</xdr:rowOff>
    </xdr:from>
    <xdr:to>
      <xdr:col>65</xdr:col>
      <xdr:colOff>27894</xdr:colOff>
      <xdr:row>4</xdr:row>
      <xdr:rowOff>83845</xdr:rowOff>
    </xdr:to>
    <xdr:pic>
      <xdr:nvPicPr>
        <xdr:cNvPr id="38" name="Image 37" descr="Agneau sur pattes PNG transparents - StickPNG">
          <a:extLst>
            <a:ext uri="{FF2B5EF4-FFF2-40B4-BE49-F238E27FC236}">
              <a16:creationId xmlns:a16="http://schemas.microsoft.com/office/drawing/2014/main" id="{C887F621-CBDD-4BE1-9ADE-AD3D2B1650E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991469" y="35719"/>
          <a:ext cx="468425" cy="524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88146</xdr:colOff>
      <xdr:row>1</xdr:row>
      <xdr:rowOff>33322</xdr:rowOff>
    </xdr:from>
    <xdr:to>
      <xdr:col>151</xdr:col>
      <xdr:colOff>276154</xdr:colOff>
      <xdr:row>4</xdr:row>
      <xdr:rowOff>21718</xdr:rowOff>
    </xdr:to>
    <xdr:pic>
      <xdr:nvPicPr>
        <xdr:cNvPr id="39" name="Image 38" descr="Image de blé PNG - PNG All">
          <a:extLst>
            <a:ext uri="{FF2B5EF4-FFF2-40B4-BE49-F238E27FC236}">
              <a16:creationId xmlns:a16="http://schemas.microsoft.com/office/drawing/2014/main" id="{22E2B37C-70D8-3898-BDF0-D312CBDEEA85}"/>
            </a:ext>
          </a:extLst>
        </xdr:cNvPr>
        <xdr:cNvPicPr>
          <a:picLocks noChangeAspect="1" noChangeArrowheads="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l="12325" t="6404" r="12476"/>
        <a:stretch/>
      </xdr:blipFill>
      <xdr:spPr bwMode="auto">
        <a:xfrm rot="17943161">
          <a:off x="72363639" y="-33146"/>
          <a:ext cx="359871" cy="740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183273</xdr:colOff>
      <xdr:row>25</xdr:row>
      <xdr:rowOff>95250</xdr:rowOff>
    </xdr:from>
    <xdr:to>
      <xdr:col>151</xdr:col>
      <xdr:colOff>200026</xdr:colOff>
      <xdr:row>30</xdr:row>
      <xdr:rowOff>20308</xdr:rowOff>
    </xdr:to>
    <xdr:pic>
      <xdr:nvPicPr>
        <xdr:cNvPr id="43" name="Image 42" descr="Barn PNG, Clipart, Angle, Area, Barn, Black, Black And White Free PNG  Download">
          <a:extLst>
            <a:ext uri="{FF2B5EF4-FFF2-40B4-BE49-F238E27FC236}">
              <a16:creationId xmlns:a16="http://schemas.microsoft.com/office/drawing/2014/main" id="{7CD94E81-7413-490E-8F3F-2C719EEE64F8}"/>
            </a:ext>
          </a:extLst>
        </xdr:cNvPr>
        <xdr:cNvPicPr>
          <a:picLocks noChangeAspect="1" noChangeArrowheads="1"/>
        </xdr:cNvPicPr>
      </xdr:nvPicPr>
      <xdr:blipFill>
        <a:blip xmlns:r="http://schemas.openxmlformats.org/officeDocument/2006/relationships" r:embed="rId37" cstate="print">
          <a:extLst>
            <a:ext uri="{BEBA8EAE-BF5A-486C-A8C5-ECC9F3942E4B}">
              <a14:imgProps xmlns:a14="http://schemas.microsoft.com/office/drawing/2010/main">
                <a14:imgLayer r:embed="rId38">
                  <a14:imgEffect>
                    <a14:backgroundRemoval t="10000" b="90000" l="10000" r="90000">
                      <a14:foregroundMark x1="24863" y1="25431" x2="24863" y2="25431"/>
                      <a14:foregroundMark x1="51511" y1="34195" x2="51511" y2="34195"/>
                      <a14:foregroundMark x1="48352" y1="53879" x2="48352" y2="53879"/>
                      <a14:foregroundMark x1="38187" y1="62787" x2="38187" y2="62787"/>
                      <a14:foregroundMark x1="50687" y1="70690" x2="50687" y2="70690"/>
                      <a14:foregroundMark x1="59066" y1="58908" x2="59066" y2="58908"/>
                    </a14:backgroundRemoval>
                  </a14:imgEffect>
                </a14:imgLayer>
              </a14:imgProps>
            </a:ext>
            <a:ext uri="{28A0092B-C50C-407E-A947-70E740481C1C}">
              <a14:useLocalDpi xmlns:a14="http://schemas.microsoft.com/office/drawing/2010/main" val="0"/>
            </a:ext>
          </a:extLst>
        </a:blip>
        <a:srcRect/>
        <a:stretch>
          <a:fillRect/>
        </a:stretch>
      </xdr:blipFill>
      <xdr:spPr bwMode="auto">
        <a:xfrm>
          <a:off x="72268473" y="3190875"/>
          <a:ext cx="569202" cy="544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542925</xdr:colOff>
      <xdr:row>26</xdr:row>
      <xdr:rowOff>113475</xdr:rowOff>
    </xdr:from>
    <xdr:to>
      <xdr:col>150</xdr:col>
      <xdr:colOff>371474</xdr:colOff>
      <xdr:row>30</xdr:row>
      <xdr:rowOff>20205</xdr:rowOff>
    </xdr:to>
    <xdr:pic>
      <xdr:nvPicPr>
        <xdr:cNvPr id="44" name="Image 43" descr="euro PNG Images Transparent Téléchargement Gratuit | PNGMart">
          <a:extLst>
            <a:ext uri="{FF2B5EF4-FFF2-40B4-BE49-F238E27FC236}">
              <a16:creationId xmlns:a16="http://schemas.microsoft.com/office/drawing/2014/main" id="{7D63DB5C-E7A0-4926-92C2-C741A28CE44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72075675" y="3332925"/>
          <a:ext cx="381000" cy="402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166</xdr:col>
      <xdr:colOff>307098</xdr:colOff>
      <xdr:row>0</xdr:row>
      <xdr:rowOff>0</xdr:rowOff>
    </xdr:from>
    <xdr:to>
      <xdr:col>167</xdr:col>
      <xdr:colOff>323851</xdr:colOff>
      <xdr:row>4</xdr:row>
      <xdr:rowOff>48883</xdr:rowOff>
    </xdr:to>
    <xdr:pic>
      <xdr:nvPicPr>
        <xdr:cNvPr id="45" name="Image 44" descr="Barn PNG, Clipart, Angle, Area, Barn, Black, Black And White Free PNG  Download">
          <a:extLst>
            <a:ext uri="{FF2B5EF4-FFF2-40B4-BE49-F238E27FC236}">
              <a16:creationId xmlns:a16="http://schemas.microsoft.com/office/drawing/2014/main" id="{D7C0EF91-B6A4-4EDB-8A07-CAC90FF59FC9}"/>
            </a:ext>
          </a:extLst>
        </xdr:cNvPr>
        <xdr:cNvPicPr>
          <a:picLocks noChangeAspect="1" noChangeArrowheads="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24863" y1="25431" x2="24863" y2="25431"/>
                      <a14:foregroundMark x1="51511" y1="34195" x2="51511" y2="34195"/>
                      <a14:foregroundMark x1="48352" y1="53879" x2="48352" y2="53879"/>
                      <a14:foregroundMark x1="38187" y1="62787" x2="38187" y2="62787"/>
                      <a14:foregroundMark x1="50687" y1="70690" x2="50687" y2="70690"/>
                      <a14:foregroundMark x1="59066" y1="58908" x2="59066" y2="58908"/>
                    </a14:backgroundRemoval>
                  </a14:imgEffect>
                </a14:imgLayer>
              </a14:imgProps>
            </a:ext>
            <a:ext uri="{28A0092B-C50C-407E-A947-70E740481C1C}">
              <a14:useLocalDpi xmlns:a14="http://schemas.microsoft.com/office/drawing/2010/main" val="0"/>
            </a:ext>
          </a:extLst>
        </a:blip>
        <a:srcRect/>
        <a:stretch>
          <a:fillRect/>
        </a:stretch>
      </xdr:blipFill>
      <xdr:spPr bwMode="auto">
        <a:xfrm>
          <a:off x="81269598" y="0"/>
          <a:ext cx="569202" cy="544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166</xdr:col>
      <xdr:colOff>114300</xdr:colOff>
      <xdr:row>1</xdr:row>
      <xdr:rowOff>18225</xdr:rowOff>
    </xdr:from>
    <xdr:to>
      <xdr:col>166</xdr:col>
      <xdr:colOff>495300</xdr:colOff>
      <xdr:row>4</xdr:row>
      <xdr:rowOff>48780</xdr:rowOff>
    </xdr:to>
    <xdr:pic>
      <xdr:nvPicPr>
        <xdr:cNvPr id="46" name="Image 45" descr="euro PNG Images Transparent Téléchargement Gratuit | PNGMart">
          <a:extLst>
            <a:ext uri="{FF2B5EF4-FFF2-40B4-BE49-F238E27FC236}">
              <a16:creationId xmlns:a16="http://schemas.microsoft.com/office/drawing/2014/main" id="{DFF90A5A-8539-4F04-A45C-B79F0968C6C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1076800" y="142050"/>
          <a:ext cx="381000" cy="402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183</xdr:col>
      <xdr:colOff>59448</xdr:colOff>
      <xdr:row>0</xdr:row>
      <xdr:rowOff>0</xdr:rowOff>
    </xdr:from>
    <xdr:to>
      <xdr:col>184</xdr:col>
      <xdr:colOff>76198</xdr:colOff>
      <xdr:row>4</xdr:row>
      <xdr:rowOff>48883</xdr:rowOff>
    </xdr:to>
    <xdr:pic>
      <xdr:nvPicPr>
        <xdr:cNvPr id="47" name="Image 46" descr="Barn PNG, Clipart, Angle, Area, Barn, Black, Black And White Free PNG  Download">
          <a:extLst>
            <a:ext uri="{FF2B5EF4-FFF2-40B4-BE49-F238E27FC236}">
              <a16:creationId xmlns:a16="http://schemas.microsoft.com/office/drawing/2014/main" id="{EBB8E287-01AA-44DA-B779-0E6AAAC41B1D}"/>
            </a:ext>
          </a:extLst>
        </xdr:cNvPr>
        <xdr:cNvPicPr>
          <a:picLocks noChangeAspect="1" noChangeArrowheads="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24863" y1="25431" x2="24863" y2="25431"/>
                      <a14:foregroundMark x1="51511" y1="34195" x2="51511" y2="34195"/>
                      <a14:foregroundMark x1="48352" y1="53879" x2="48352" y2="53879"/>
                      <a14:foregroundMark x1="38187" y1="62787" x2="38187" y2="62787"/>
                      <a14:foregroundMark x1="50687" y1="70690" x2="50687" y2="70690"/>
                      <a14:foregroundMark x1="59066" y1="58908" x2="59066" y2="58908"/>
                    </a14:backgroundRemoval>
                  </a14:imgEffect>
                </a14:imgLayer>
              </a14:imgProps>
            </a:ext>
            <a:ext uri="{28A0092B-C50C-407E-A947-70E740481C1C}">
              <a14:useLocalDpi xmlns:a14="http://schemas.microsoft.com/office/drawing/2010/main" val="0"/>
            </a:ext>
          </a:extLst>
        </a:blip>
        <a:srcRect/>
        <a:stretch>
          <a:fillRect/>
        </a:stretch>
      </xdr:blipFill>
      <xdr:spPr bwMode="auto">
        <a:xfrm>
          <a:off x="90413598" y="0"/>
          <a:ext cx="569202" cy="544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182</xdr:col>
      <xdr:colOff>419100</xdr:colOff>
      <xdr:row>1</xdr:row>
      <xdr:rowOff>18225</xdr:rowOff>
    </xdr:from>
    <xdr:to>
      <xdr:col>183</xdr:col>
      <xdr:colOff>247651</xdr:colOff>
      <xdr:row>4</xdr:row>
      <xdr:rowOff>48780</xdr:rowOff>
    </xdr:to>
    <xdr:pic>
      <xdr:nvPicPr>
        <xdr:cNvPr id="48" name="Image 47" descr="euro PNG Images Transparent Téléchargement Gratuit | PNGMart">
          <a:extLst>
            <a:ext uri="{FF2B5EF4-FFF2-40B4-BE49-F238E27FC236}">
              <a16:creationId xmlns:a16="http://schemas.microsoft.com/office/drawing/2014/main" id="{5DBB102F-ED80-487B-940F-A78F067F086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90220800" y="142050"/>
          <a:ext cx="381000" cy="402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213</xdr:col>
      <xdr:colOff>85725</xdr:colOff>
      <xdr:row>0</xdr:row>
      <xdr:rowOff>0</xdr:rowOff>
    </xdr:from>
    <xdr:to>
      <xdr:col>214</xdr:col>
      <xdr:colOff>31435</xdr:colOff>
      <xdr:row>4</xdr:row>
      <xdr:rowOff>50957</xdr:rowOff>
    </xdr:to>
    <xdr:pic>
      <xdr:nvPicPr>
        <xdr:cNvPr id="49" name="Image 48" descr="Analytics, bars, graph, points icon - Download on Iconfinder">
          <a:extLst>
            <a:ext uri="{FF2B5EF4-FFF2-40B4-BE49-F238E27FC236}">
              <a16:creationId xmlns:a16="http://schemas.microsoft.com/office/drawing/2014/main" id="{181E27CD-890D-404A-8E2B-271D25D44FE9}"/>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08042075" y="0"/>
          <a:ext cx="498160" cy="546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229</xdr:col>
      <xdr:colOff>0</xdr:colOff>
      <xdr:row>0</xdr:row>
      <xdr:rowOff>0</xdr:rowOff>
    </xdr:from>
    <xdr:to>
      <xdr:col>229</xdr:col>
      <xdr:colOff>498160</xdr:colOff>
      <xdr:row>4</xdr:row>
      <xdr:rowOff>50957</xdr:rowOff>
    </xdr:to>
    <xdr:pic>
      <xdr:nvPicPr>
        <xdr:cNvPr id="50" name="Image 49" descr="Analytics, bars, graph, points icon - Download on Iconfinder">
          <a:extLst>
            <a:ext uri="{FF2B5EF4-FFF2-40B4-BE49-F238E27FC236}">
              <a16:creationId xmlns:a16="http://schemas.microsoft.com/office/drawing/2014/main" id="{B60710A6-9FA9-46CE-BF77-2D564EFA1E91}"/>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16795550" y="0"/>
          <a:ext cx="498160" cy="546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118</xdr:col>
      <xdr:colOff>209550</xdr:colOff>
      <xdr:row>1</xdr:row>
      <xdr:rowOff>0</xdr:rowOff>
    </xdr:from>
    <xdr:to>
      <xdr:col>119</xdr:col>
      <xdr:colOff>134431</xdr:colOff>
      <xdr:row>5</xdr:row>
      <xdr:rowOff>13609</xdr:rowOff>
    </xdr:to>
    <xdr:pic>
      <xdr:nvPicPr>
        <xdr:cNvPr id="51" name="Image 50" descr="Mouton qui regarde PNG transparents - StickPNG">
          <a:extLst>
            <a:ext uri="{FF2B5EF4-FFF2-40B4-BE49-F238E27FC236}">
              <a16:creationId xmlns:a16="http://schemas.microsoft.com/office/drawing/2014/main" id="{48AD61E5-30E2-46A4-B6F2-0214337C8AF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0800000" flipH="1" flipV="1">
          <a:off x="54616350" y="123825"/>
          <a:ext cx="477331" cy="508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83</xdr:col>
      <xdr:colOff>42178</xdr:colOff>
      <xdr:row>2</xdr:row>
      <xdr:rowOff>68118</xdr:rowOff>
    </xdr:from>
    <xdr:to>
      <xdr:col>84</xdr:col>
      <xdr:colOff>169024</xdr:colOff>
      <xdr:row>4</xdr:row>
      <xdr:rowOff>118209</xdr:rowOff>
    </xdr:to>
    <xdr:pic>
      <xdr:nvPicPr>
        <xdr:cNvPr id="53" name="Image 52" descr="Image de blé PNG - PNG All">
          <a:extLst>
            <a:ext uri="{FF2B5EF4-FFF2-40B4-BE49-F238E27FC236}">
              <a16:creationId xmlns:a16="http://schemas.microsoft.com/office/drawing/2014/main" id="{8B12BB76-DD37-44D6-A03F-F83C62A1B4E0}"/>
            </a:ext>
          </a:extLst>
        </xdr:cNvPr>
        <xdr:cNvPicPr>
          <a:picLocks noChangeAspect="1" noChangeArrowheads="1"/>
        </xdr:cNvPicPr>
      </xdr:nvPicPr>
      <xdr:blipFill rotWithShape="1">
        <a:blip xmlns:r="http://schemas.openxmlformats.org/officeDocument/2006/relationships" r:embed="rId40" cstate="print">
          <a:extLst>
            <a:ext uri="{28A0092B-C50C-407E-A947-70E740481C1C}">
              <a14:useLocalDpi xmlns:a14="http://schemas.microsoft.com/office/drawing/2010/main" val="0"/>
            </a:ext>
          </a:extLst>
        </a:blip>
        <a:srcRect l="12325" t="6404" r="12476"/>
        <a:stretch/>
      </xdr:blipFill>
      <xdr:spPr bwMode="auto">
        <a:xfrm rot="16935538">
          <a:off x="36537493" y="158328"/>
          <a:ext cx="297741" cy="6126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81643</xdr:colOff>
      <xdr:row>16</xdr:row>
      <xdr:rowOff>66363</xdr:rowOff>
    </xdr:from>
    <xdr:to>
      <xdr:col>1</xdr:col>
      <xdr:colOff>47625</xdr:colOff>
      <xdr:row>20</xdr:row>
      <xdr:rowOff>71911</xdr:rowOff>
    </xdr:to>
    <xdr:pic>
      <xdr:nvPicPr>
        <xdr:cNvPr id="54" name="Image 53" descr="Barn PNG, Clipart, Angle, Area, Barn, Black, Black And White Free PNG  Download">
          <a:extLst>
            <a:ext uri="{FF2B5EF4-FFF2-40B4-BE49-F238E27FC236}">
              <a16:creationId xmlns:a16="http://schemas.microsoft.com/office/drawing/2014/main" id="{C799B66D-9278-427C-9C61-87BAADBEA09D}"/>
            </a:ext>
          </a:extLst>
        </xdr:cNvPr>
        <xdr:cNvPicPr>
          <a:picLocks noChangeAspect="1" noChangeArrowheads="1"/>
        </xdr:cNvPicPr>
      </xdr:nvPicPr>
      <xdr:blipFill>
        <a:blip xmlns:r="http://schemas.openxmlformats.org/officeDocument/2006/relationships" r:embed="rId41" cstate="print">
          <a:extLst>
            <a:ext uri="{BEBA8EAE-BF5A-486C-A8C5-ECC9F3942E4B}">
              <a14:imgProps xmlns:a14="http://schemas.microsoft.com/office/drawing/2010/main">
                <a14:imgLayer r:embed="rId42">
                  <a14:imgEffect>
                    <a14:backgroundRemoval t="10000" b="90000" l="10000" r="90000">
                      <a14:foregroundMark x1="24863" y1="25431" x2="24863" y2="25431"/>
                      <a14:foregroundMark x1="51511" y1="34195" x2="51511" y2="34195"/>
                      <a14:foregroundMark x1="48352" y1="53879" x2="48352" y2="53879"/>
                      <a14:foregroundMark x1="38187" y1="62787" x2="38187" y2="62787"/>
                      <a14:foregroundMark x1="50687" y1="70690" x2="50687" y2="70690"/>
                      <a14:foregroundMark x1="59066" y1="58908" x2="59066" y2="58908"/>
                    </a14:backgroundRemoval>
                  </a14:imgEffect>
                </a14:imgLayer>
              </a14:imgProps>
            </a:ext>
            <a:ext uri="{28A0092B-C50C-407E-A947-70E740481C1C}">
              <a14:useLocalDpi xmlns:a14="http://schemas.microsoft.com/office/drawing/2010/main" val="0"/>
            </a:ext>
          </a:extLst>
        </a:blip>
        <a:srcRect/>
        <a:stretch>
          <a:fillRect/>
        </a:stretch>
      </xdr:blipFill>
      <xdr:spPr bwMode="auto">
        <a:xfrm>
          <a:off x="81643" y="2025792"/>
          <a:ext cx="523875" cy="495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257175</xdr:colOff>
      <xdr:row>0</xdr:row>
      <xdr:rowOff>0</xdr:rowOff>
    </xdr:from>
    <xdr:to>
      <xdr:col>17</xdr:col>
      <xdr:colOff>133350</xdr:colOff>
      <xdr:row>3</xdr:row>
      <xdr:rowOff>55789</xdr:rowOff>
    </xdr:to>
    <xdr:pic>
      <xdr:nvPicPr>
        <xdr:cNvPr id="56" name="Graphique 55" descr="Loupe avec un remplissage uni">
          <a:extLst>
            <a:ext uri="{FF2B5EF4-FFF2-40B4-BE49-F238E27FC236}">
              <a16:creationId xmlns:a16="http://schemas.microsoft.com/office/drawing/2014/main" id="{192F41CE-70D8-868D-0FCB-EBFE8051DE63}"/>
            </a:ext>
          </a:extLst>
        </xdr:cNvPr>
        <xdr:cNvPicPr>
          <a:picLocks noChangeAspect="1"/>
        </xdr:cNvPicPr>
      </xdr:nvPicPr>
      <xdr:blipFill>
        <a:blip xmlns:r="http://schemas.openxmlformats.org/officeDocument/2006/relationships" r:embed="rId43">
          <a:extLst>
            <a:ext uri="{96DAC541-7B7A-43D3-8B79-37D633B846F1}">
              <asvg:svgBlip xmlns:asvg="http://schemas.microsoft.com/office/drawing/2016/SVG/main" r:embed="rId44"/>
            </a:ext>
          </a:extLst>
        </a:blip>
        <a:stretch>
          <a:fillRect/>
        </a:stretch>
      </xdr:blipFill>
      <xdr:spPr>
        <a:xfrm>
          <a:off x="9183461" y="0"/>
          <a:ext cx="434068" cy="423182"/>
        </a:xfrm>
        <a:prstGeom prst="rect">
          <a:avLst/>
        </a:prstGeom>
      </xdr:spPr>
    </xdr:pic>
    <xdr:clientData/>
  </xdr:twoCellAnchor>
  <xdr:twoCellAnchor>
    <xdr:from>
      <xdr:col>73</xdr:col>
      <xdr:colOff>222250</xdr:colOff>
      <xdr:row>4</xdr:row>
      <xdr:rowOff>33337</xdr:rowOff>
    </xdr:from>
    <xdr:to>
      <xdr:col>82</xdr:col>
      <xdr:colOff>365125</xdr:colOff>
      <xdr:row>25</xdr:row>
      <xdr:rowOff>109537</xdr:rowOff>
    </xdr:to>
    <xdr:graphicFrame macro="">
      <xdr:nvGraphicFramePr>
        <xdr:cNvPr id="11" name="Graphique 10">
          <a:extLst>
            <a:ext uri="{FF2B5EF4-FFF2-40B4-BE49-F238E27FC236}">
              <a16:creationId xmlns:a16="http://schemas.microsoft.com/office/drawing/2014/main" id="{68B32D29-F7CB-FBF3-4702-5FB1D80626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73</xdr:col>
      <xdr:colOff>215900</xdr:colOff>
      <xdr:row>27</xdr:row>
      <xdr:rowOff>50801</xdr:rowOff>
    </xdr:from>
    <xdr:to>
      <xdr:col>82</xdr:col>
      <xdr:colOff>406400</xdr:colOff>
      <xdr:row>52</xdr:row>
      <xdr:rowOff>95250</xdr:rowOff>
    </xdr:to>
    <xdr:graphicFrame macro="">
      <xdr:nvGraphicFramePr>
        <xdr:cNvPr id="35" name="Graphique 34">
          <a:extLst>
            <a:ext uri="{FF2B5EF4-FFF2-40B4-BE49-F238E27FC236}">
              <a16:creationId xmlns:a16="http://schemas.microsoft.com/office/drawing/2014/main" id="{0760C417-EFD4-4D0F-91D0-DF32F959F9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8</xdr:col>
      <xdr:colOff>447699</xdr:colOff>
      <xdr:row>20</xdr:row>
      <xdr:rowOff>71437</xdr:rowOff>
    </xdr:from>
    <xdr:to>
      <xdr:col>9</xdr:col>
      <xdr:colOff>149556</xdr:colOff>
      <xdr:row>22</xdr:row>
      <xdr:rowOff>60847</xdr:rowOff>
    </xdr:to>
    <xdr:pic>
      <xdr:nvPicPr>
        <xdr:cNvPr id="21" name="Image 20" descr="30 100+ Pouce Vers Le Haut Photos, taleaux et images libre de droits -  iStock | Pouce levé, Pouce vers le bas, Smiley">
          <a:extLst>
            <a:ext uri="{FF2B5EF4-FFF2-40B4-BE49-F238E27FC236}">
              <a16:creationId xmlns:a16="http://schemas.microsoft.com/office/drawing/2014/main" id="{B160DBF2-A4F2-4EB5-9697-386AE7B4BE5D}"/>
            </a:ext>
          </a:extLst>
        </xdr:cNvPr>
        <xdr:cNvPicPr>
          <a:picLocks noChangeAspect="1" noChangeArrowheads="1"/>
        </xdr:cNvPicPr>
      </xdr:nvPicPr>
      <xdr:blipFill rotWithShape="1">
        <a:blip xmlns:r="http://schemas.openxmlformats.org/officeDocument/2006/relationships" r:embed="rId47" cstate="print">
          <a:extLst>
            <a:ext uri="{BEBA8EAE-BF5A-486C-A8C5-ECC9F3942E4B}">
              <a14:imgProps xmlns:a14="http://schemas.microsoft.com/office/drawing/2010/main">
                <a14:imgLayer r:embed="rId48">
                  <a14:imgEffect>
                    <a14:backgroundRemoval t="9827" b="89884" l="9967" r="94771"/>
                  </a14:imgEffect>
                </a14:imgLayer>
              </a14:imgProps>
            </a:ext>
            <a:ext uri="{28A0092B-C50C-407E-A947-70E740481C1C}">
              <a14:useLocalDpi xmlns:a14="http://schemas.microsoft.com/office/drawing/2010/main" val="0"/>
            </a:ext>
          </a:extLst>
        </a:blip>
        <a:srcRect l="48595" t="10203" b="10204"/>
        <a:stretch/>
      </xdr:blipFill>
      <xdr:spPr bwMode="auto">
        <a:xfrm>
          <a:off x="4924449" y="2452687"/>
          <a:ext cx="261451" cy="227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404812</xdr:colOff>
      <xdr:row>20</xdr:row>
      <xdr:rowOff>56085</xdr:rowOff>
    </xdr:from>
    <xdr:to>
      <xdr:col>10</xdr:col>
      <xdr:colOff>95862</xdr:colOff>
      <xdr:row>22</xdr:row>
      <xdr:rowOff>66343</xdr:rowOff>
    </xdr:to>
    <xdr:pic>
      <xdr:nvPicPr>
        <xdr:cNvPr id="40" name="Image 39" descr="30 100+ Pouce Vers Le Haut Photos, taleaux et images libre de droits -  iStock | Pouce levé, Pouce vers le bas, Smiley">
          <a:extLst>
            <a:ext uri="{FF2B5EF4-FFF2-40B4-BE49-F238E27FC236}">
              <a16:creationId xmlns:a16="http://schemas.microsoft.com/office/drawing/2014/main" id="{E8D552C3-A694-4B63-9AC0-3BBDD1441A3F}"/>
            </a:ext>
          </a:extLst>
        </xdr:cNvPr>
        <xdr:cNvPicPr>
          <a:picLocks noChangeAspect="1" noChangeArrowheads="1"/>
        </xdr:cNvPicPr>
      </xdr:nvPicPr>
      <xdr:blipFill rotWithShape="1">
        <a:blip xmlns:r="http://schemas.openxmlformats.org/officeDocument/2006/relationships" r:embed="rId49" cstate="print">
          <a:extLst>
            <a:ext uri="{BEBA8EAE-BF5A-486C-A8C5-ECC9F3942E4B}">
              <a14:imgProps xmlns:a14="http://schemas.microsoft.com/office/drawing/2010/main">
                <a14:imgLayer r:embed="rId50">
                  <a14:imgEffect>
                    <a14:backgroundRemoval t="10983" b="85260" l="4902" r="50327"/>
                  </a14:imgEffect>
                </a14:imgLayer>
              </a14:imgProps>
            </a:ext>
            <a:ext uri="{28A0092B-C50C-407E-A947-70E740481C1C}">
              <a14:useLocalDpi xmlns:a14="http://schemas.microsoft.com/office/drawing/2010/main" val="0"/>
            </a:ext>
          </a:extLst>
        </a:blip>
        <a:srcRect l="5568" t="10203" r="50866" b="10204"/>
        <a:stretch/>
      </xdr:blipFill>
      <xdr:spPr bwMode="auto">
        <a:xfrm>
          <a:off x="5441156" y="2437335"/>
          <a:ext cx="250644" cy="24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415241</xdr:colOff>
      <xdr:row>20</xdr:row>
      <xdr:rowOff>75687</xdr:rowOff>
    </xdr:from>
    <xdr:to>
      <xdr:col>11</xdr:col>
      <xdr:colOff>87381</xdr:colOff>
      <xdr:row>22</xdr:row>
      <xdr:rowOff>34520</xdr:rowOff>
    </xdr:to>
    <xdr:pic>
      <xdr:nvPicPr>
        <xdr:cNvPr id="41" name="Image 40" descr="Fichier:Attention Sign.svg — Wikipédia">
          <a:extLst>
            <a:ext uri="{FF2B5EF4-FFF2-40B4-BE49-F238E27FC236}">
              <a16:creationId xmlns:a16="http://schemas.microsoft.com/office/drawing/2014/main" id="{10C837FE-1F5E-4294-B231-72DDD83C21E4}"/>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6011179" y="2456937"/>
          <a:ext cx="231733" cy="196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94</xdr:col>
      <xdr:colOff>142875</xdr:colOff>
      <xdr:row>3</xdr:row>
      <xdr:rowOff>114300</xdr:rowOff>
    </xdr:from>
    <xdr:to>
      <xdr:col>101</xdr:col>
      <xdr:colOff>447675</xdr:colOff>
      <xdr:row>24</xdr:row>
      <xdr:rowOff>38100</xdr:rowOff>
    </xdr:to>
    <xdr:graphicFrame macro="">
      <xdr:nvGraphicFramePr>
        <xdr:cNvPr id="57" name="Graphique 56">
          <a:extLst>
            <a:ext uri="{FF2B5EF4-FFF2-40B4-BE49-F238E27FC236}">
              <a16:creationId xmlns:a16="http://schemas.microsoft.com/office/drawing/2014/main" id="{D06B58DA-E403-4D22-9339-904744428A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242225</xdr:colOff>
      <xdr:row>0</xdr:row>
      <xdr:rowOff>69272</xdr:rowOff>
    </xdr:from>
    <xdr:to>
      <xdr:col>2</xdr:col>
      <xdr:colOff>68778</xdr:colOff>
      <xdr:row>3</xdr:row>
      <xdr:rowOff>48257</xdr:rowOff>
    </xdr:to>
    <xdr:pic>
      <xdr:nvPicPr>
        <xdr:cNvPr id="5" name="Imag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2225" y="69272"/>
          <a:ext cx="527593" cy="535245"/>
        </a:xfrm>
        <a:prstGeom prst="rect">
          <a:avLst/>
        </a:prstGeom>
      </xdr:spPr>
    </xdr:pic>
    <xdr:clientData/>
  </xdr:twoCellAnchor>
  <xdr:twoCellAnchor editAs="oneCell">
    <xdr:from>
      <xdr:col>13</xdr:col>
      <xdr:colOff>90055</xdr:colOff>
      <xdr:row>0</xdr:row>
      <xdr:rowOff>76199</xdr:rowOff>
    </xdr:from>
    <xdr:to>
      <xdr:col>15</xdr:col>
      <xdr:colOff>149208</xdr:colOff>
      <xdr:row>2</xdr:row>
      <xdr:rowOff>219074</xdr:rowOff>
    </xdr:to>
    <xdr:pic>
      <xdr:nvPicPr>
        <xdr:cNvPr id="2" name="Imag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92782" y="76199"/>
          <a:ext cx="751881" cy="468457"/>
        </a:xfrm>
        <a:prstGeom prst="rect">
          <a:avLst/>
        </a:prstGeom>
      </xdr:spPr>
    </xdr:pic>
    <xdr:clientData/>
  </xdr:twoCellAnchor>
  <xdr:twoCellAnchor editAs="oneCell">
    <xdr:from>
      <xdr:col>13</xdr:col>
      <xdr:colOff>94583</xdr:colOff>
      <xdr:row>3</xdr:row>
      <xdr:rowOff>33228</xdr:rowOff>
    </xdr:from>
    <xdr:to>
      <xdr:col>15</xdr:col>
      <xdr:colOff>57853</xdr:colOff>
      <xdr:row>5</xdr:row>
      <xdr:rowOff>0</xdr:rowOff>
    </xdr:to>
    <xdr:pic>
      <xdr:nvPicPr>
        <xdr:cNvPr id="3" name="Imag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597310" y="587410"/>
          <a:ext cx="655998" cy="403190"/>
        </a:xfrm>
        <a:prstGeom prst="rect">
          <a:avLst/>
        </a:prstGeom>
      </xdr:spPr>
    </xdr:pic>
    <xdr:clientData/>
  </xdr:twoCellAnchor>
  <xdr:twoCellAnchor editAs="oneCell">
    <xdr:from>
      <xdr:col>0</xdr:col>
      <xdr:colOff>112964</xdr:colOff>
      <xdr:row>3</xdr:row>
      <xdr:rowOff>168871</xdr:rowOff>
    </xdr:from>
    <xdr:to>
      <xdr:col>2</xdr:col>
      <xdr:colOff>314034</xdr:colOff>
      <xdr:row>5</xdr:row>
      <xdr:rowOff>52002</xdr:rowOff>
    </xdr:to>
    <xdr:pic>
      <xdr:nvPicPr>
        <xdr:cNvPr id="4" name="Imag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2964" y="723053"/>
          <a:ext cx="893797" cy="319549"/>
        </a:xfrm>
        <a:prstGeom prst="rect">
          <a:avLst/>
        </a:prstGeom>
      </xdr:spPr>
    </xdr:pic>
    <xdr:clientData/>
  </xdr:twoCellAnchor>
  <xdr:twoCellAnchor editAs="oneCell">
    <xdr:from>
      <xdr:col>20</xdr:col>
      <xdr:colOff>34636</xdr:colOff>
      <xdr:row>9</xdr:row>
      <xdr:rowOff>83127</xdr:rowOff>
    </xdr:from>
    <xdr:to>
      <xdr:col>20</xdr:col>
      <xdr:colOff>296087</xdr:colOff>
      <xdr:row>10</xdr:row>
      <xdr:rowOff>158262</xdr:rowOff>
    </xdr:to>
    <xdr:pic>
      <xdr:nvPicPr>
        <xdr:cNvPr id="7" name="Image 6" descr="30 100+ Pouce Vers Le Haut Photos, taleaux et images libre de droits -  iStock | Pouce levé, Pouce vers le bas, Smiley">
          <a:extLst>
            <a:ext uri="{FF2B5EF4-FFF2-40B4-BE49-F238E27FC236}">
              <a16:creationId xmlns:a16="http://schemas.microsoft.com/office/drawing/2014/main" id="{00000000-0008-0000-0A00-000007000000}"/>
            </a:ext>
          </a:extLst>
        </xdr:cNvPr>
        <xdr:cNvPicPr>
          <a:picLocks noChangeAspect="1" noChangeArrowheads="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ackgroundRemoval t="9827" b="89884" l="9967" r="94771"/>
                  </a14:imgEffect>
                </a14:imgLayer>
              </a14:imgProps>
            </a:ext>
            <a:ext uri="{28A0092B-C50C-407E-A947-70E740481C1C}">
              <a14:useLocalDpi xmlns:a14="http://schemas.microsoft.com/office/drawing/2010/main" val="0"/>
            </a:ext>
          </a:extLst>
        </a:blip>
        <a:srcRect l="48595" t="10203" b="10204"/>
        <a:stretch/>
      </xdr:blipFill>
      <xdr:spPr bwMode="auto">
        <a:xfrm>
          <a:off x="6916082" y="1894342"/>
          <a:ext cx="261451" cy="227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15562</xdr:colOff>
      <xdr:row>11</xdr:row>
      <xdr:rowOff>5862</xdr:rowOff>
    </xdr:from>
    <xdr:to>
      <xdr:col>20</xdr:col>
      <xdr:colOff>266206</xdr:colOff>
      <xdr:row>12</xdr:row>
      <xdr:rowOff>35170</xdr:rowOff>
    </xdr:to>
    <xdr:pic>
      <xdr:nvPicPr>
        <xdr:cNvPr id="8" name="Image 7" descr="30 100+ Pouce Vers Le Haut Photos, taleaux et images libre de droits -  iStock | Pouce levé, Pouce vers le bas, Smiley">
          <a:extLst>
            <a:ext uri="{FF2B5EF4-FFF2-40B4-BE49-F238E27FC236}">
              <a16:creationId xmlns:a16="http://schemas.microsoft.com/office/drawing/2014/main" id="{00000000-0008-0000-0A00-000008000000}"/>
            </a:ext>
          </a:extLst>
        </xdr:cNvPr>
        <xdr:cNvPicPr>
          <a:picLocks noChangeAspect="1" noChangeArrowheads="1"/>
        </xdr:cNvPicPr>
      </xdr:nvPicPr>
      <xdr:blipFill rotWithShape="1">
        <a:blip xmlns:r="http://schemas.openxmlformats.org/officeDocument/2006/relationships" r:embed="rId7" cstate="print">
          <a:extLst>
            <a:ext uri="{BEBA8EAE-BF5A-486C-A8C5-ECC9F3942E4B}">
              <a14:imgProps xmlns:a14="http://schemas.microsoft.com/office/drawing/2010/main">
                <a14:imgLayer r:embed="rId8">
                  <a14:imgEffect>
                    <a14:backgroundRemoval t="10983" b="85260" l="4902" r="50327"/>
                  </a14:imgEffect>
                </a14:imgLayer>
              </a14:imgProps>
            </a:ext>
            <a:ext uri="{28A0092B-C50C-407E-A947-70E740481C1C}">
              <a14:useLocalDpi xmlns:a14="http://schemas.microsoft.com/office/drawing/2010/main" val="0"/>
            </a:ext>
          </a:extLst>
        </a:blip>
        <a:srcRect l="5568" t="10203" r="50866" b="10204"/>
        <a:stretch/>
      </xdr:blipFill>
      <xdr:spPr bwMode="auto">
        <a:xfrm>
          <a:off x="6897008" y="2198077"/>
          <a:ext cx="250644" cy="2579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37897</xdr:colOff>
      <xdr:row>12</xdr:row>
      <xdr:rowOff>199295</xdr:rowOff>
    </xdr:from>
    <xdr:to>
      <xdr:col>20</xdr:col>
      <xdr:colOff>269630</xdr:colOff>
      <xdr:row>13</xdr:row>
      <xdr:rowOff>177178</xdr:rowOff>
    </xdr:to>
    <xdr:pic>
      <xdr:nvPicPr>
        <xdr:cNvPr id="9" name="Image 8" descr="Fichier:Attention Sign.svg — Wikipédia">
          <a:extLst>
            <a:ext uri="{FF2B5EF4-FFF2-40B4-BE49-F238E27FC236}">
              <a16:creationId xmlns:a16="http://schemas.microsoft.com/office/drawing/2014/main" id="{00000000-0008-0000-0A00-000009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919343" y="2620110"/>
          <a:ext cx="231733" cy="206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171239</xdr:colOff>
      <xdr:row>6</xdr:row>
      <xdr:rowOff>26226</xdr:rowOff>
    </xdr:from>
    <xdr:to>
      <xdr:col>2</xdr:col>
      <xdr:colOff>254000</xdr:colOff>
      <xdr:row>8</xdr:row>
      <xdr:rowOff>125445</xdr:rowOff>
    </xdr:to>
    <xdr:pic>
      <xdr:nvPicPr>
        <xdr:cNvPr id="10" name="Image 9">
          <a:extLst>
            <a:ext uri="{FF2B5EF4-FFF2-40B4-BE49-F238E27FC236}">
              <a16:creationId xmlns:a16="http://schemas.microsoft.com/office/drawing/2014/main" id="{3A97E1D6-EEA1-2E8D-290F-CBA77FAACDC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1239" y="1126893"/>
          <a:ext cx="781261" cy="4590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19049</xdr:colOff>
      <xdr:row>0</xdr:row>
      <xdr:rowOff>0</xdr:rowOff>
    </xdr:from>
    <xdr:to>
      <xdr:col>2</xdr:col>
      <xdr:colOff>228599</xdr:colOff>
      <xdr:row>3</xdr:row>
      <xdr:rowOff>118897</xdr:rowOff>
    </xdr:to>
    <xdr:pic>
      <xdr:nvPicPr>
        <xdr:cNvPr id="2" name="Image 1">
          <a:extLst>
            <a:ext uri="{FF2B5EF4-FFF2-40B4-BE49-F238E27FC236}">
              <a16:creationId xmlns:a16="http://schemas.microsoft.com/office/drawing/2014/main" id="{FBAF7917-F200-403E-A2CD-C36817B449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5274" y="0"/>
          <a:ext cx="676275" cy="695840"/>
        </a:xfrm>
        <a:prstGeom prst="rect">
          <a:avLst/>
        </a:prstGeom>
      </xdr:spPr>
    </xdr:pic>
    <xdr:clientData/>
  </xdr:twoCellAnchor>
  <xdr:twoCellAnchor editAs="oneCell">
    <xdr:from>
      <xdr:col>12</xdr:col>
      <xdr:colOff>223405</xdr:colOff>
      <xdr:row>0</xdr:row>
      <xdr:rowOff>0</xdr:rowOff>
    </xdr:from>
    <xdr:to>
      <xdr:col>14</xdr:col>
      <xdr:colOff>133350</xdr:colOff>
      <xdr:row>2</xdr:row>
      <xdr:rowOff>156482</xdr:rowOff>
    </xdr:to>
    <xdr:pic>
      <xdr:nvPicPr>
        <xdr:cNvPr id="3" name="Image 2">
          <a:extLst>
            <a:ext uri="{FF2B5EF4-FFF2-40B4-BE49-F238E27FC236}">
              <a16:creationId xmlns:a16="http://schemas.microsoft.com/office/drawing/2014/main" id="{44482F9A-A0D1-49ED-9760-BF2246CEFB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19255" y="0"/>
          <a:ext cx="729095" cy="542925"/>
        </a:xfrm>
        <a:prstGeom prst="rect">
          <a:avLst/>
        </a:prstGeom>
      </xdr:spPr>
    </xdr:pic>
    <xdr:clientData/>
  </xdr:twoCellAnchor>
  <xdr:twoCellAnchor editAs="oneCell">
    <xdr:from>
      <xdr:col>12</xdr:col>
      <xdr:colOff>246983</xdr:colOff>
      <xdr:row>2</xdr:row>
      <xdr:rowOff>133351</xdr:rowOff>
    </xdr:from>
    <xdr:to>
      <xdr:col>14</xdr:col>
      <xdr:colOff>117000</xdr:colOff>
      <xdr:row>5</xdr:row>
      <xdr:rowOff>21773</xdr:rowOff>
    </xdr:to>
    <xdr:pic>
      <xdr:nvPicPr>
        <xdr:cNvPr id="4" name="Image 3">
          <a:extLst>
            <a:ext uri="{FF2B5EF4-FFF2-40B4-BE49-F238E27FC236}">
              <a16:creationId xmlns:a16="http://schemas.microsoft.com/office/drawing/2014/main" id="{B5F9DDA5-7ABA-407B-97F6-C5A248D642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142833" y="628651"/>
          <a:ext cx="689167" cy="476250"/>
        </a:xfrm>
        <a:prstGeom prst="rect">
          <a:avLst/>
        </a:prstGeom>
      </xdr:spPr>
    </xdr:pic>
    <xdr:clientData/>
  </xdr:twoCellAnchor>
  <xdr:twoCellAnchor editAs="oneCell">
    <xdr:from>
      <xdr:col>0</xdr:col>
      <xdr:colOff>68036</xdr:colOff>
      <xdr:row>3</xdr:row>
      <xdr:rowOff>45176</xdr:rowOff>
    </xdr:from>
    <xdr:to>
      <xdr:col>2</xdr:col>
      <xdr:colOff>93465</xdr:colOff>
      <xdr:row>5</xdr:row>
      <xdr:rowOff>71325</xdr:rowOff>
    </xdr:to>
    <xdr:pic>
      <xdr:nvPicPr>
        <xdr:cNvPr id="5" name="Image 4">
          <a:extLst>
            <a:ext uri="{FF2B5EF4-FFF2-40B4-BE49-F238E27FC236}">
              <a16:creationId xmlns:a16="http://schemas.microsoft.com/office/drawing/2014/main" id="{FF4BA966-CB68-4E60-91AE-35A4798697B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036" y="616676"/>
          <a:ext cx="773822" cy="434363"/>
        </a:xfrm>
        <a:prstGeom prst="rect">
          <a:avLst/>
        </a:prstGeom>
      </xdr:spPr>
    </xdr:pic>
    <xdr:clientData/>
  </xdr:twoCellAnchor>
  <xdr:twoCellAnchor>
    <xdr:from>
      <xdr:col>16</xdr:col>
      <xdr:colOff>10584</xdr:colOff>
      <xdr:row>1</xdr:row>
      <xdr:rowOff>198436</xdr:rowOff>
    </xdr:from>
    <xdr:to>
      <xdr:col>32</xdr:col>
      <xdr:colOff>31750</xdr:colOff>
      <xdr:row>48</xdr:row>
      <xdr:rowOff>175947</xdr:rowOff>
    </xdr:to>
    <xdr:graphicFrame macro="">
      <xdr:nvGraphicFramePr>
        <xdr:cNvPr id="8" name="Graphique 7">
          <a:extLst>
            <a:ext uri="{FF2B5EF4-FFF2-40B4-BE49-F238E27FC236}">
              <a16:creationId xmlns:a16="http://schemas.microsoft.com/office/drawing/2014/main" id="{8B03D898-D6B2-4812-BD2F-B4486EFE88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217714</xdr:colOff>
      <xdr:row>27</xdr:row>
      <xdr:rowOff>163286</xdr:rowOff>
    </xdr:from>
    <xdr:to>
      <xdr:col>14</xdr:col>
      <xdr:colOff>323546</xdr:colOff>
      <xdr:row>47</xdr:row>
      <xdr:rowOff>4538</xdr:rowOff>
    </xdr:to>
    <xdr:sp macro="" textlink="">
      <xdr:nvSpPr>
        <xdr:cNvPr id="6" name="ZoneTexte 5">
          <a:extLst>
            <a:ext uri="{FF2B5EF4-FFF2-40B4-BE49-F238E27FC236}">
              <a16:creationId xmlns:a16="http://schemas.microsoft.com/office/drawing/2014/main" id="{1F39725C-0A52-4E0C-8AC2-49A5D4F7B15A}"/>
            </a:ext>
          </a:extLst>
        </xdr:cNvPr>
        <xdr:cNvSpPr txBox="1"/>
      </xdr:nvSpPr>
      <xdr:spPr>
        <a:xfrm>
          <a:off x="3048000" y="5238750"/>
          <a:ext cx="2963332" cy="3651252"/>
        </a:xfrm>
        <a:prstGeom prst="rect">
          <a:avLst/>
        </a:prstGeom>
        <a:solidFill>
          <a:schemeClr val="lt1"/>
        </a:solidFill>
        <a:ln w="9525" cmpd="sng">
          <a:solidFill>
            <a:srgbClr val="8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t>Définition :</a:t>
          </a:r>
        </a:p>
        <a:p>
          <a:endParaRPr lang="fr-FR" sz="1000"/>
        </a:p>
        <a:p>
          <a:r>
            <a:rPr lang="fr-FR" sz="1000" b="1"/>
            <a:t>Le prix de revient </a:t>
          </a:r>
          <a:r>
            <a:rPr lang="fr-FR" sz="1000"/>
            <a:t>de la viande correspond au prix de vente qui, compte tenu des aides et des produits joints, permet de couvrir l’ensemble des charges engagées par l’éleveur et de rémunérer l’ensemble des facteurs de production (main</a:t>
          </a:r>
          <a:r>
            <a:rPr lang="fr-FR" sz="1000" baseline="0"/>
            <a:t> </a:t>
          </a:r>
          <a:r>
            <a:rPr lang="fr-FR" sz="1000"/>
            <a:t>d’œuvre et capitaux) au niveau défini. </a:t>
          </a:r>
          <a:r>
            <a:rPr lang="fr-FR" sz="1000">
              <a:solidFill>
                <a:schemeClr val="accent5">
                  <a:lumMod val="75000"/>
                </a:schemeClr>
              </a:solidFill>
            </a:rPr>
            <a:t>Pour permettre</a:t>
          </a:r>
          <a:r>
            <a:rPr lang="fr-FR" sz="1000" baseline="0">
              <a:solidFill>
                <a:schemeClr val="accent5">
                  <a:lumMod val="75000"/>
                </a:schemeClr>
              </a:solidFill>
            </a:rPr>
            <a:t> une rémunération </a:t>
          </a:r>
          <a:r>
            <a:rPr lang="fr-FR" sz="1000">
              <a:solidFill>
                <a:schemeClr val="accent5">
                  <a:lumMod val="75000"/>
                </a:schemeClr>
              </a:solidFill>
            </a:rPr>
            <a:t>à 2 SMIC, le</a:t>
          </a:r>
          <a:r>
            <a:rPr lang="fr-FR" sz="1000" baseline="0">
              <a:solidFill>
                <a:schemeClr val="accent5">
                  <a:lumMod val="75000"/>
                </a:schemeClr>
              </a:solidFill>
            </a:rPr>
            <a:t> kilo d'agneaux devrait être vendu à X€.</a:t>
          </a:r>
          <a:endParaRPr lang="fr-FR" sz="1000">
            <a:solidFill>
              <a:schemeClr val="accent5">
                <a:lumMod val="75000"/>
              </a:schemeClr>
            </a:solidFill>
          </a:endParaRPr>
        </a:p>
        <a:p>
          <a:endParaRPr lang="fr-FR" sz="1000"/>
        </a:p>
        <a:p>
          <a:r>
            <a:rPr lang="fr-FR" sz="1000" b="1"/>
            <a:t>La rémunération du travail exploitant permise par les produits</a:t>
          </a:r>
          <a:r>
            <a:rPr lang="fr-FR" sz="1000"/>
            <a:t> permet de mesurer la part des produits affectés à l’atelier qui reste pour rémunérer la main</a:t>
          </a:r>
          <a:r>
            <a:rPr lang="fr-FR" sz="1000" baseline="0"/>
            <a:t> </a:t>
          </a:r>
          <a:r>
            <a:rPr lang="fr-FR" sz="1000"/>
            <a:t>d’œuvre exploitant une fois que toutes les autres charges ont été couvertes.</a:t>
          </a:r>
        </a:p>
        <a:p>
          <a:endParaRPr lang="fr-FR" sz="1000"/>
        </a:p>
        <a:p>
          <a:r>
            <a:rPr lang="fr-FR" sz="1000"/>
            <a:t>Elle est exprimé</a:t>
          </a:r>
          <a:r>
            <a:rPr lang="fr-FR" sz="1000" baseline="0"/>
            <a:t> ici par kilo de carcasse vendu, </a:t>
          </a:r>
          <a:r>
            <a:rPr lang="fr-FR" sz="1000" baseline="0">
              <a:solidFill>
                <a:schemeClr val="accent5">
                  <a:lumMod val="75000"/>
                </a:schemeClr>
              </a:solidFill>
            </a:rPr>
            <a:t>1 kgc permet une rémunération de X€ pour l'éleveur.</a:t>
          </a:r>
        </a:p>
        <a:p>
          <a:r>
            <a:rPr lang="fr-FR" sz="1000" baseline="0"/>
            <a:t>Ainsi que par équivalents SMIC par unité de main d'oeuvre exploitant, </a:t>
          </a:r>
          <a:r>
            <a:rPr lang="fr-FR" sz="1000" baseline="0">
              <a:solidFill>
                <a:schemeClr val="accent5">
                  <a:lumMod val="75000"/>
                </a:schemeClr>
              </a:solidFill>
            </a:rPr>
            <a:t>les produits permettent de rémunérer chaque exploitant à hauteur de X SMIC.</a:t>
          </a:r>
          <a:endParaRPr lang="fr-FR" sz="1000">
            <a:solidFill>
              <a:schemeClr val="accent5">
                <a:lumMod val="75000"/>
              </a:schemeClr>
            </a:solidFill>
          </a:endParaRPr>
        </a:p>
        <a:p>
          <a:endParaRPr lang="fr-FR" sz="800" kern="1200"/>
        </a:p>
        <a:p>
          <a:endParaRPr lang="fr-FR" sz="700" kern="1200"/>
        </a:p>
      </xdr:txBody>
    </xdr:sp>
    <xdr:clientData/>
  </xdr:twoCellAnchor>
  <xdr:twoCellAnchor editAs="oneCell">
    <xdr:from>
      <xdr:col>2</xdr:col>
      <xdr:colOff>168503</xdr:colOff>
      <xdr:row>3</xdr:row>
      <xdr:rowOff>50618</xdr:rowOff>
    </xdr:from>
    <xdr:to>
      <xdr:col>3</xdr:col>
      <xdr:colOff>401899</xdr:colOff>
      <xdr:row>5</xdr:row>
      <xdr:rowOff>50292</xdr:rowOff>
    </xdr:to>
    <xdr:pic>
      <xdr:nvPicPr>
        <xdr:cNvPr id="11" name="Image 10">
          <a:extLst>
            <a:ext uri="{FF2B5EF4-FFF2-40B4-BE49-F238E27FC236}">
              <a16:creationId xmlns:a16="http://schemas.microsoft.com/office/drawing/2014/main" id="{BF37DE3B-9CBB-8862-E7CB-7E3FDA9B8F8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6896" y="622118"/>
          <a:ext cx="696039" cy="4078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 1" descr="(Croissant)">
          <a:extLst>
            <a:ext uri="{FF2B5EF4-FFF2-40B4-BE49-F238E27FC236}">
              <a16:creationId xmlns:a16="http://schemas.microsoft.com/office/drawing/2014/main" id="{1ADBC3CB-AC41-48BA-9E94-6D1D03037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3048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3" name="Image 2" descr="(Croissant)">
          <a:extLst>
            <a:ext uri="{FF2B5EF4-FFF2-40B4-BE49-F238E27FC236}">
              <a16:creationId xmlns:a16="http://schemas.microsoft.com/office/drawing/2014/main" id="{067975AD-798D-4679-BEAD-CA78B4C45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381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4" name="Image 3" descr="(Croissant)">
          <a:extLst>
            <a:ext uri="{FF2B5EF4-FFF2-40B4-BE49-F238E27FC236}">
              <a16:creationId xmlns:a16="http://schemas.microsoft.com/office/drawing/2014/main" id="{43BBE953-E834-447C-8602-0AE8CF37C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381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5" name="Image 4" descr="(Croissant)">
          <a:extLst>
            <a:ext uri="{FF2B5EF4-FFF2-40B4-BE49-F238E27FC236}">
              <a16:creationId xmlns:a16="http://schemas.microsoft.com/office/drawing/2014/main" id="{A2FF63C9-3CC8-476E-9421-B9B56CCAD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4572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6" name="Image 5" descr="(Croissant)">
          <a:extLst>
            <a:ext uri="{FF2B5EF4-FFF2-40B4-BE49-F238E27FC236}">
              <a16:creationId xmlns:a16="http://schemas.microsoft.com/office/drawing/2014/main" id="{1CF35508-A5EF-406A-A320-E54327100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4572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14</xdr:row>
      <xdr:rowOff>0</xdr:rowOff>
    </xdr:from>
    <xdr:to>
      <xdr:col>2</xdr:col>
      <xdr:colOff>7620</xdr:colOff>
      <xdr:row>14</xdr:row>
      <xdr:rowOff>7620</xdr:rowOff>
    </xdr:to>
    <xdr:pic>
      <xdr:nvPicPr>
        <xdr:cNvPr id="7" name="Image 6" descr="(Croissant)">
          <a:extLst>
            <a:ext uri="{FF2B5EF4-FFF2-40B4-BE49-F238E27FC236}">
              <a16:creationId xmlns:a16="http://schemas.microsoft.com/office/drawing/2014/main" id="{1AD0E2C8-C5BA-4FE9-A337-2098F1942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5334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14</xdr:row>
      <xdr:rowOff>0</xdr:rowOff>
    </xdr:from>
    <xdr:to>
      <xdr:col>2</xdr:col>
      <xdr:colOff>7620</xdr:colOff>
      <xdr:row>14</xdr:row>
      <xdr:rowOff>7620</xdr:rowOff>
    </xdr:to>
    <xdr:pic>
      <xdr:nvPicPr>
        <xdr:cNvPr id="8" name="Image 7" descr="(Croissant)">
          <a:extLst>
            <a:ext uri="{FF2B5EF4-FFF2-40B4-BE49-F238E27FC236}">
              <a16:creationId xmlns:a16="http://schemas.microsoft.com/office/drawing/2014/main" id="{A4C5E837-F30B-418B-8036-A36177BFD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5334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2</xdr:col>
      <xdr:colOff>7620</xdr:colOff>
      <xdr:row>24</xdr:row>
      <xdr:rowOff>7620</xdr:rowOff>
    </xdr:to>
    <xdr:pic>
      <xdr:nvPicPr>
        <xdr:cNvPr id="9" name="Image 8" descr="(Croissant)">
          <a:extLst>
            <a:ext uri="{FF2B5EF4-FFF2-40B4-BE49-F238E27FC236}">
              <a16:creationId xmlns:a16="http://schemas.microsoft.com/office/drawing/2014/main" id="{418D3D79-516E-4557-BB0A-551D2FE7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9144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0" name="Image 9" descr="(Croissant)">
          <a:extLst>
            <a:ext uri="{FF2B5EF4-FFF2-40B4-BE49-F238E27FC236}">
              <a16:creationId xmlns:a16="http://schemas.microsoft.com/office/drawing/2014/main" id="{D182037E-DB9B-4DF6-8C08-A69BAB88C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43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1" name="Image 10" descr="(Croissant)">
          <a:extLst>
            <a:ext uri="{FF2B5EF4-FFF2-40B4-BE49-F238E27FC236}">
              <a16:creationId xmlns:a16="http://schemas.microsoft.com/office/drawing/2014/main" id="{27514B9A-DA83-4B11-9EA5-CEB6CF120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43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7620</xdr:colOff>
      <xdr:row>31</xdr:row>
      <xdr:rowOff>7620</xdr:rowOff>
    </xdr:to>
    <xdr:pic>
      <xdr:nvPicPr>
        <xdr:cNvPr id="12" name="Image 11" descr="(Croissant)">
          <a:extLst>
            <a:ext uri="{FF2B5EF4-FFF2-40B4-BE49-F238E27FC236}">
              <a16:creationId xmlns:a16="http://schemas.microsoft.com/office/drawing/2014/main" id="{49DFB644-AA44-4621-823D-F001EDE7A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811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2</xdr:col>
      <xdr:colOff>7620</xdr:colOff>
      <xdr:row>31</xdr:row>
      <xdr:rowOff>7620</xdr:rowOff>
    </xdr:to>
    <xdr:pic>
      <xdr:nvPicPr>
        <xdr:cNvPr id="13" name="Image 12" descr="(Croissant)">
          <a:extLst>
            <a:ext uri="{FF2B5EF4-FFF2-40B4-BE49-F238E27FC236}">
              <a16:creationId xmlns:a16="http://schemas.microsoft.com/office/drawing/2014/main" id="{D361F55B-ACBC-4228-A883-082BADD8E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811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14" name="Image 13" descr="(Croissant)">
          <a:extLst>
            <a:ext uri="{FF2B5EF4-FFF2-40B4-BE49-F238E27FC236}">
              <a16:creationId xmlns:a16="http://schemas.microsoft.com/office/drawing/2014/main" id="{41FF80AE-3A8B-4D73-8B27-8F8DAF4B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2573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15" name="Image 14" descr="(Croissant)">
          <a:extLst>
            <a:ext uri="{FF2B5EF4-FFF2-40B4-BE49-F238E27FC236}">
              <a16:creationId xmlns:a16="http://schemas.microsoft.com/office/drawing/2014/main" id="{088D0E47-61EA-4FCA-BB2B-4052E658B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2573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7620</xdr:colOff>
      <xdr:row>34</xdr:row>
      <xdr:rowOff>7620</xdr:rowOff>
    </xdr:to>
    <xdr:pic>
      <xdr:nvPicPr>
        <xdr:cNvPr id="16" name="Image 15" descr="(Croissant)">
          <a:extLst>
            <a:ext uri="{FF2B5EF4-FFF2-40B4-BE49-F238E27FC236}">
              <a16:creationId xmlns:a16="http://schemas.microsoft.com/office/drawing/2014/main" id="{26D9345B-B0D1-4CE1-B624-DDBE3EEF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2954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7620</xdr:colOff>
      <xdr:row>34</xdr:row>
      <xdr:rowOff>7620</xdr:rowOff>
    </xdr:to>
    <xdr:pic>
      <xdr:nvPicPr>
        <xdr:cNvPr id="17" name="Image 16" descr="(Croissant)">
          <a:extLst>
            <a:ext uri="{FF2B5EF4-FFF2-40B4-BE49-F238E27FC236}">
              <a16:creationId xmlns:a16="http://schemas.microsoft.com/office/drawing/2014/main" id="{2223D673-03C3-4895-ACCD-7F6939B2C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2954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7620</xdr:colOff>
      <xdr:row>35</xdr:row>
      <xdr:rowOff>7620</xdr:rowOff>
    </xdr:to>
    <xdr:pic>
      <xdr:nvPicPr>
        <xdr:cNvPr id="18" name="Image 17" descr="(Croissant)">
          <a:extLst>
            <a:ext uri="{FF2B5EF4-FFF2-40B4-BE49-F238E27FC236}">
              <a16:creationId xmlns:a16="http://schemas.microsoft.com/office/drawing/2014/main" id="{03AC82BC-2429-4EF5-B227-1FFB793CF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3335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7620</xdr:colOff>
      <xdr:row>35</xdr:row>
      <xdr:rowOff>7620</xdr:rowOff>
    </xdr:to>
    <xdr:pic>
      <xdr:nvPicPr>
        <xdr:cNvPr id="19" name="Image 18" descr="(Croissant)">
          <a:extLst>
            <a:ext uri="{FF2B5EF4-FFF2-40B4-BE49-F238E27FC236}">
              <a16:creationId xmlns:a16="http://schemas.microsoft.com/office/drawing/2014/main" id="{D66FD2F5-AA3B-4BFA-B666-DEDD6B94F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3335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0" name="Image 19" descr="(Croissant)">
          <a:extLst>
            <a:ext uri="{FF2B5EF4-FFF2-40B4-BE49-F238E27FC236}">
              <a16:creationId xmlns:a16="http://schemas.microsoft.com/office/drawing/2014/main" id="{A7FA5549-246E-4440-B99F-51FAD0608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43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1" name="Image 20" descr="(Croissant)">
          <a:extLst>
            <a:ext uri="{FF2B5EF4-FFF2-40B4-BE49-F238E27FC236}">
              <a16:creationId xmlns:a16="http://schemas.microsoft.com/office/drawing/2014/main" id="{07BD7DA7-26BF-4282-9A8A-352F5F7EA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43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7620</xdr:colOff>
      <xdr:row>35</xdr:row>
      <xdr:rowOff>7620</xdr:rowOff>
    </xdr:to>
    <xdr:pic>
      <xdr:nvPicPr>
        <xdr:cNvPr id="22" name="Image 21" descr="(Croissant)">
          <a:extLst>
            <a:ext uri="{FF2B5EF4-FFF2-40B4-BE49-F238E27FC236}">
              <a16:creationId xmlns:a16="http://schemas.microsoft.com/office/drawing/2014/main" id="{C9AA67FE-6BDC-41CA-BD31-4DBEFB557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3335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7620</xdr:colOff>
      <xdr:row>35</xdr:row>
      <xdr:rowOff>7620</xdr:rowOff>
    </xdr:to>
    <xdr:pic>
      <xdr:nvPicPr>
        <xdr:cNvPr id="23" name="Image 22" descr="(Croissant)">
          <a:extLst>
            <a:ext uri="{FF2B5EF4-FFF2-40B4-BE49-F238E27FC236}">
              <a16:creationId xmlns:a16="http://schemas.microsoft.com/office/drawing/2014/main" id="{448FF315-DC4B-4624-A6AE-4DE1E5E48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3335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4" name="Image 23" descr="(Croissant)">
          <a:extLst>
            <a:ext uri="{FF2B5EF4-FFF2-40B4-BE49-F238E27FC236}">
              <a16:creationId xmlns:a16="http://schemas.microsoft.com/office/drawing/2014/main" id="{B676D162-AC70-46FC-80BC-45547D05D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43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 name="Image 24" descr="(Croissant)">
          <a:extLst>
            <a:ext uri="{FF2B5EF4-FFF2-40B4-BE49-F238E27FC236}">
              <a16:creationId xmlns:a16="http://schemas.microsoft.com/office/drawing/2014/main" id="{5D4C0C85-2B54-436A-8209-37BA3D86D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43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7620</xdr:colOff>
      <xdr:row>35</xdr:row>
      <xdr:rowOff>7620</xdr:rowOff>
    </xdr:to>
    <xdr:pic>
      <xdr:nvPicPr>
        <xdr:cNvPr id="26" name="Image 25" descr="(Croissant)">
          <a:extLst>
            <a:ext uri="{FF2B5EF4-FFF2-40B4-BE49-F238E27FC236}">
              <a16:creationId xmlns:a16="http://schemas.microsoft.com/office/drawing/2014/main" id="{9AC642EE-C081-4CF4-BA5F-B103232DF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3335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7620</xdr:colOff>
      <xdr:row>35</xdr:row>
      <xdr:rowOff>7620</xdr:rowOff>
    </xdr:to>
    <xdr:pic>
      <xdr:nvPicPr>
        <xdr:cNvPr id="27" name="Image 26" descr="(Croissant)">
          <a:extLst>
            <a:ext uri="{FF2B5EF4-FFF2-40B4-BE49-F238E27FC236}">
              <a16:creationId xmlns:a16="http://schemas.microsoft.com/office/drawing/2014/main" id="{989072C8-872E-4C7C-A85F-581E3747E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3335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8" name="Image 27" descr="(Croissant)">
          <a:extLst>
            <a:ext uri="{FF2B5EF4-FFF2-40B4-BE49-F238E27FC236}">
              <a16:creationId xmlns:a16="http://schemas.microsoft.com/office/drawing/2014/main" id="{C7D88907-5FF3-4994-BD62-94D1AE9F3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43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9" name="Image 28" descr="(Croissant)">
          <a:extLst>
            <a:ext uri="{FF2B5EF4-FFF2-40B4-BE49-F238E27FC236}">
              <a16:creationId xmlns:a16="http://schemas.microsoft.com/office/drawing/2014/main" id="{61AB2D67-9D39-488C-87F2-AE5F2CAA3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1430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7620</xdr:colOff>
      <xdr:row>35</xdr:row>
      <xdr:rowOff>7620</xdr:rowOff>
    </xdr:to>
    <xdr:pic>
      <xdr:nvPicPr>
        <xdr:cNvPr id="30" name="Image 29" descr="(Croissant)">
          <a:extLst>
            <a:ext uri="{FF2B5EF4-FFF2-40B4-BE49-F238E27FC236}">
              <a16:creationId xmlns:a16="http://schemas.microsoft.com/office/drawing/2014/main" id="{FB60939E-20F0-42E2-BEF0-5F800EEE2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3335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35</xdr:row>
      <xdr:rowOff>0</xdr:rowOff>
    </xdr:from>
    <xdr:to>
      <xdr:col>2</xdr:col>
      <xdr:colOff>7620</xdr:colOff>
      <xdr:row>35</xdr:row>
      <xdr:rowOff>7620</xdr:rowOff>
    </xdr:to>
    <xdr:pic>
      <xdr:nvPicPr>
        <xdr:cNvPr id="31" name="Image 30" descr="(Croissant)">
          <a:extLst>
            <a:ext uri="{FF2B5EF4-FFF2-40B4-BE49-F238E27FC236}">
              <a16:creationId xmlns:a16="http://schemas.microsoft.com/office/drawing/2014/main" id="{CBA064D8-A9B1-4E1B-8B9B-BAF39BC46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133350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eur" refreshedDate="45832.510996527781" createdVersion="8" refreshedVersion="8" minRefreshableVersion="3" recordCount="441" xr:uid="{778B5E6B-AE3C-4344-81CE-B630CF9ACE55}">
  <cacheSource type="worksheet">
    <worksheetSource name="tableau1"/>
  </cacheSource>
  <cacheFields count="11">
    <cacheField name="Date" numFmtId="14">
      <sharedItems containsBlank="1"/>
    </cacheField>
    <cacheField name="Agnelage" numFmtId="0">
      <sharedItems containsBlank="1" count="7">
        <m/>
        <s v="Stock"/>
        <s v="Hiver"/>
        <s v="Printemps"/>
        <s v="Eté"/>
        <s v="Automne"/>
        <s v="Adulte"/>
      </sharedItems>
    </cacheField>
    <cacheField name="Commercialisation" numFmtId="0">
      <sharedItems containsBlank="1" count="4">
        <m/>
        <s v="Autoconsommation"/>
        <s v="Circuit long"/>
        <s v="Vente en directe"/>
      </sharedItems>
    </cacheField>
    <cacheField name="Type animaux" numFmtId="0">
      <sharedItems containsBlank="1" count="16">
        <m/>
        <s v="Autoconsommé"/>
        <s v="Brebis reproduction"/>
        <s v="Agneaux lourd adret"/>
        <s v="Agneaux lourds label"/>
        <s v="Agneaux lourds bio"/>
        <s v="Agneaux lourds standards"/>
        <s v="Tardons maigres"/>
        <s v="Tardons finis"/>
        <s v="Agneaux maigres"/>
        <s v="Agneaux légers"/>
        <s v="Brebis réformés"/>
        <s v="Béliers réformés"/>
        <s v="Jeunes femelles reproduction"/>
        <s v="Jeunes males reproduction"/>
        <s v="Béliers reproduction"/>
      </sharedItems>
    </cacheField>
    <cacheField name="Nombre" numFmtId="0">
      <sharedItems containsNonDate="0" containsString="0" containsBlank="1"/>
    </cacheField>
    <cacheField name="Poids carcasse" numFmtId="0">
      <sharedItems containsNonDate="0" containsString="0" containsBlank="1"/>
    </cacheField>
    <cacheField name="Montant" numFmtId="0">
      <sharedItems containsNonDate="0" containsString="0" containsBlank="1"/>
    </cacheField>
    <cacheField name="Poids moyen" numFmtId="165">
      <sharedItems containsBlank="1"/>
    </cacheField>
    <cacheField name="Montant/poids" numFmtId="165">
      <sharedItems containsBlank="1"/>
    </cacheField>
    <cacheField name="Montant individu" numFmtId="1">
      <sharedItems containsBlank="1"/>
    </cacheField>
    <cacheField name="Age moyen" numFmtId="0">
      <sharedItems containsBlank="1"/>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31E54DC-6183-4409-8F2D-6A7F2A27487A}" name="Tableau croisé dynamique4" cacheId="0"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location ref="O18:T25" firstHeaderRow="1" firstDataRow="2" firstDataCol="1"/>
  <pivotFields count="11">
    <pivotField showAll="0"/>
    <pivotField axis="axisRow" showAll="0">
      <items count="8">
        <item x="6"/>
        <item x="2"/>
        <item x="3"/>
        <item x="4"/>
        <item x="5"/>
        <item x="1"/>
        <item x="0"/>
        <item t="default"/>
      </items>
    </pivotField>
    <pivotField showAll="0"/>
    <pivotField axis="axisCol" showAll="0">
      <items count="17">
        <item h="1" x="10"/>
        <item x="4"/>
        <item x="3"/>
        <item x="6"/>
        <item h="1" x="9"/>
        <item h="1" x="12"/>
        <item h="1" x="15"/>
        <item h="1" x="11"/>
        <item h="1" x="2"/>
        <item h="1" x="13"/>
        <item h="1" x="14"/>
        <item h="1" x="8"/>
        <item h="1" x="7"/>
        <item h="1" x="0"/>
        <item x="5"/>
        <item h="1" x="1"/>
        <item t="default"/>
      </items>
    </pivotField>
    <pivotField showAll="0"/>
    <pivotField showAll="0"/>
    <pivotField showAll="0"/>
    <pivotField showAll="0"/>
    <pivotField showAll="0"/>
    <pivotField showAll="0"/>
    <pivotField dataField="1" showAll="0"/>
  </pivotFields>
  <rowFields count="1">
    <field x="1"/>
  </rowFields>
  <rowItems count="6">
    <i>
      <x v="1"/>
    </i>
    <i>
      <x v="2"/>
    </i>
    <i>
      <x v="3"/>
    </i>
    <i>
      <x v="4"/>
    </i>
    <i>
      <x v="5"/>
    </i>
    <i t="grand">
      <x/>
    </i>
  </rowItems>
  <colFields count="1">
    <field x="3"/>
  </colFields>
  <colItems count="5">
    <i>
      <x v="1"/>
    </i>
    <i>
      <x v="2"/>
    </i>
    <i>
      <x v="3"/>
    </i>
    <i>
      <x v="14"/>
    </i>
    <i t="grand">
      <x/>
    </i>
  </colItems>
  <dataFields count="1">
    <dataField name="Moyenne de Age moyen" fld="10" subtotal="average" baseField="1" baseItem="1"/>
  </dataFields>
  <formats count="9">
    <format dxfId="9">
      <pivotArea outline="0" collapsedLevelsAreSubtotals="1" fieldPosition="0"/>
    </format>
    <format dxfId="8">
      <pivotArea dataOnly="0" labelOnly="1" fieldPosition="0">
        <references count="1">
          <reference field="1" count="5">
            <x v="1"/>
            <x v="2"/>
            <x v="3"/>
            <x v="4"/>
            <x v="5"/>
          </reference>
        </references>
      </pivotArea>
    </format>
    <format dxfId="7">
      <pivotArea dataOnly="0" labelOnly="1" grandRow="1" outline="0" fieldPosition="0"/>
    </format>
    <format dxfId="6">
      <pivotArea outline="0" collapsedLevelsAreSubtotals="1" fieldPosition="0"/>
    </format>
    <format dxfId="5">
      <pivotArea field="1" type="button" dataOnly="0" labelOnly="1" outline="0" axis="axisRow" fieldPosition="0"/>
    </format>
    <format dxfId="4">
      <pivotArea dataOnly="0" labelOnly="1" fieldPosition="0">
        <references count="1">
          <reference field="1" count="5">
            <x v="1"/>
            <x v="2"/>
            <x v="3"/>
            <x v="4"/>
            <x v="5"/>
          </reference>
        </references>
      </pivotArea>
    </format>
    <format dxfId="3">
      <pivotArea dataOnly="0" labelOnly="1" grandRow="1" outline="0" fieldPosition="0"/>
    </format>
    <format dxfId="2">
      <pivotArea dataOnly="0" labelOnly="1" fieldPosition="0">
        <references count="1">
          <reference field="3" count="0"/>
        </references>
      </pivotArea>
    </format>
    <format dxfId="1">
      <pivotArea dataOnly="0" labelOnly="1" grandCol="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C88963D-0F30-4D64-8DD0-76AE607A8022}" name="Tableau croisé dynamique3" cacheId="0" applyNumberFormats="0" applyBorderFormats="0" applyFontFormats="0" applyPatternFormats="0" applyAlignmentFormats="0" applyWidthHeightFormats="1" dataCaption="Valeurs" updatedVersion="8" minRefreshableVersion="3" showDrill="0" useAutoFormatting="1" itemPrintTitles="1" createdVersion="8" indent="0" showHeaders="0" outline="1" outlineData="1" multipleFieldFilters="0">
  <location ref="O11:V16" firstHeaderRow="1" firstDataRow="2" firstDataCol="1"/>
  <pivotFields count="11">
    <pivotField showAll="0"/>
    <pivotField axis="axisCol" showAll="0">
      <items count="8">
        <item x="6"/>
        <item x="2"/>
        <item x="3"/>
        <item x="4"/>
        <item x="5"/>
        <item x="1"/>
        <item x="0"/>
        <item t="default"/>
      </items>
    </pivotField>
    <pivotField axis="axisRow" showAll="0">
      <items count="5">
        <item x="1"/>
        <item x="2"/>
        <item x="3"/>
        <item h="1" x="0"/>
        <item t="default"/>
      </items>
    </pivotField>
    <pivotField showAll="0"/>
    <pivotField dataField="1" showAll="0"/>
    <pivotField showAll="0"/>
    <pivotField showAll="0"/>
    <pivotField showAll="0"/>
    <pivotField showAll="0"/>
    <pivotField showAll="0"/>
    <pivotField showAll="0"/>
  </pivotFields>
  <rowFields count="1">
    <field x="2"/>
  </rowFields>
  <rowItems count="4">
    <i>
      <x/>
    </i>
    <i>
      <x v="1"/>
    </i>
    <i>
      <x v="2"/>
    </i>
    <i t="grand">
      <x/>
    </i>
  </rowItems>
  <colFields count="1">
    <field x="1"/>
  </colFields>
  <colItems count="7">
    <i>
      <x/>
    </i>
    <i>
      <x v="1"/>
    </i>
    <i>
      <x v="2"/>
    </i>
    <i>
      <x v="3"/>
    </i>
    <i>
      <x v="4"/>
    </i>
    <i>
      <x v="5"/>
    </i>
    <i t="grand">
      <x/>
    </i>
  </colItems>
  <dataFields count="1">
    <dataField name="Somme de Nombre" fld="4" baseField="0" baseItem="0"/>
  </dataFields>
  <formats count="8">
    <format dxfId="17">
      <pivotArea type="all" dataOnly="0" outline="0" fieldPosition="0"/>
    </format>
    <format dxfId="16">
      <pivotArea outline="0" collapsedLevelsAreSubtotals="1" fieldPosition="0"/>
    </format>
    <format dxfId="15">
      <pivotArea type="origin" dataOnly="0" labelOnly="1" outline="0" fieldPosition="0"/>
    </format>
    <format dxfId="14">
      <pivotArea type="topRight" dataOnly="0" labelOnly="1" outline="0" fieldPosition="0"/>
    </format>
    <format dxfId="13">
      <pivotArea dataOnly="0" labelOnly="1" fieldPosition="0">
        <references count="1">
          <reference field="2" count="0"/>
        </references>
      </pivotArea>
    </format>
    <format dxfId="12">
      <pivotArea dataOnly="0" labelOnly="1" grandRow="1" outline="0" fieldPosition="0"/>
    </format>
    <format dxfId="11">
      <pivotArea dataOnly="0" labelOnly="1" fieldPosition="0">
        <references count="1">
          <reference field="1" count="0"/>
        </references>
      </pivotArea>
    </format>
    <format dxfId="10">
      <pivotArea dataOnly="0" labelOnly="1" grandCol="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C3852FF-2737-411C-BC89-6EA3AFA8C603}" name="Tableau croisé dynamique10" cacheId="0" applyNumberFormats="0" applyBorderFormats="0" applyFontFormats="0" applyPatternFormats="0" applyAlignmentFormats="0" applyWidthHeightFormats="1" dataCaption="Valeurs" updatedVersion="8" minRefreshableVersion="3" showDrill="0" useAutoFormatting="1" itemPrintTitles="1" createdVersion="8" indent="0" showHeaders="0" outline="1" outlineData="1" multipleFieldFilters="0">
  <location ref="O4:R8" firstHeaderRow="0" firstDataRow="1" firstDataCol="1" rowPageCount="1" colPageCount="1"/>
  <pivotFields count="11">
    <pivotField showAll="0"/>
    <pivotField showAll="0"/>
    <pivotField axis="axisRow" showAll="0">
      <items count="5">
        <item x="2"/>
        <item x="3"/>
        <item h="1" x="0"/>
        <item x="1"/>
        <item t="default"/>
      </items>
    </pivotField>
    <pivotField axis="axisPage" multipleItemSelectionAllowed="1" showAll="0">
      <items count="17">
        <item x="10"/>
        <item x="3"/>
        <item x="5"/>
        <item x="4"/>
        <item x="6"/>
        <item x="9"/>
        <item h="1" x="12"/>
        <item h="1" x="15"/>
        <item h="1" x="11"/>
        <item h="1" x="2"/>
        <item x="13"/>
        <item x="14"/>
        <item x="8"/>
        <item x="7"/>
        <item h="1" x="0"/>
        <item x="1"/>
        <item t="default"/>
      </items>
    </pivotField>
    <pivotField dataField="1" showAll="0"/>
    <pivotField dataField="1" showAll="0"/>
    <pivotField dataField="1" showAll="0"/>
    <pivotField showAll="0"/>
    <pivotField showAll="0"/>
    <pivotField showAll="0"/>
    <pivotField showAll="0"/>
  </pivotFields>
  <rowFields count="1">
    <field x="2"/>
  </rowFields>
  <rowItems count="4">
    <i>
      <x/>
    </i>
    <i>
      <x v="1"/>
    </i>
    <i>
      <x v="3"/>
    </i>
    <i t="grand">
      <x/>
    </i>
  </rowItems>
  <colFields count="1">
    <field x="-2"/>
  </colFields>
  <colItems count="3">
    <i>
      <x/>
    </i>
    <i i="1">
      <x v="1"/>
    </i>
    <i i="2">
      <x v="2"/>
    </i>
  </colItems>
  <pageFields count="1">
    <pageField fld="3" hier="-1"/>
  </pageFields>
  <dataFields count="3">
    <dataField name="Somme de Nombre" fld="4" baseField="0" baseItem="0"/>
    <dataField name="Somme de Poids carcasse" fld="5" baseField="0" baseItem="0"/>
    <dataField name="Somme de Montant" fld="6" baseField="0" baseItem="0"/>
  </dataFields>
  <formats count="5">
    <format dxfId="22">
      <pivotArea type="all" dataOnly="0" outline="0" fieldPosition="0"/>
    </format>
    <format dxfId="21">
      <pivotArea outline="0" collapsedLevelsAreSubtotals="1" fieldPosition="0"/>
    </format>
    <format dxfId="20">
      <pivotArea dataOnly="0" labelOnly="1" fieldPosition="0">
        <references count="1">
          <reference field="2" count="0"/>
        </references>
      </pivotArea>
    </format>
    <format dxfId="19">
      <pivotArea dataOnly="0" labelOnly="1" grandRow="1" outline="0" fieldPosition="0"/>
    </format>
    <format dxfId="18">
      <pivotArea dataOnly="0" labelOnly="1" outline="0" fieldPosition="0">
        <references count="1">
          <reference field="4294967294" count="3">
            <x v="0"/>
            <x v="1"/>
            <x v="2"/>
          </reference>
        </references>
      </pivotArea>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3B110213-9393-48AC-8112-313A43B3B2C7}" name="Tableau croisé dynamique5" cacheId="0" dataOnRows="1" applyNumberFormats="0" applyBorderFormats="0" applyFontFormats="0" applyPatternFormats="0" applyAlignmentFormats="0" applyWidthHeightFormats="1" dataCaption="Valeurs" showError="1" updatedVersion="8" minRefreshableVersion="3" showDrill="0" itemPrintTitles="1" createdVersion="5" indent="0" showHeaders="0" compact="0" compactData="0" multipleFieldFilters="0">
  <location ref="O104:R149" firstHeaderRow="0" firstDataRow="1" firstDataCol="2" rowPageCount="1" colPageCount="1"/>
  <pivotFields count="11">
    <pivotField compact="0" outline="0" showAll="0"/>
    <pivotField axis="axisCol" compact="0" outline="0" showAll="0">
      <items count="8">
        <item n="Adulte" x="0"/>
        <item x="3"/>
        <item x="4"/>
        <item x="5"/>
        <item x="2"/>
        <item x="1"/>
        <item n="Adulte2" x="6"/>
        <item t="default"/>
      </items>
    </pivotField>
    <pivotField axis="axisPage" compact="0" outline="0" showAll="0" defaultSubtotal="0">
      <items count="4">
        <item x="1"/>
        <item x="2"/>
        <item x="3"/>
        <item x="0"/>
      </items>
    </pivotField>
    <pivotField axis="axisRow" compact="0" outline="0" showAll="0" defaultSubtotal="0">
      <items count="16">
        <item x="6"/>
        <item x="4"/>
        <item x="5"/>
        <item x="10"/>
        <item x="9"/>
        <item x="8"/>
        <item x="13"/>
        <item x="14"/>
        <item x="7"/>
        <item x="0"/>
        <item x="11"/>
        <item x="12"/>
        <item x="2"/>
        <item x="15"/>
        <item x="3"/>
        <item x="1"/>
      </items>
    </pivotField>
    <pivotField dataField="1" compact="0" outline="0" showAll="0"/>
    <pivotField dataField="1" compact="0" outline="0" showAll="0" defaultSubtotal="0"/>
    <pivotField dataField="1" compact="0" outline="0" showAll="0"/>
    <pivotField compact="0" outline="0" showAll="0" defaultSubtotal="0"/>
    <pivotField compact="0" outline="0" showAll="0"/>
    <pivotField compact="0" outline="0" showAll="0"/>
    <pivotField compact="0" outline="0" showAll="0"/>
  </pivotFields>
  <rowFields count="2">
    <field x="3"/>
    <field x="-2"/>
  </rowFields>
  <rowItems count="45">
    <i>
      <x/>
      <x/>
    </i>
    <i r="1" i="1">
      <x v="1"/>
    </i>
    <i r="1" i="2">
      <x v="2"/>
    </i>
    <i>
      <x v="1"/>
      <x/>
    </i>
    <i r="1" i="1">
      <x v="1"/>
    </i>
    <i r="1" i="2">
      <x v="2"/>
    </i>
    <i>
      <x v="2"/>
      <x/>
    </i>
    <i r="1" i="1">
      <x v="1"/>
    </i>
    <i r="1" i="2">
      <x v="2"/>
    </i>
    <i>
      <x v="3"/>
      <x/>
    </i>
    <i r="1" i="1">
      <x v="1"/>
    </i>
    <i r="1" i="2">
      <x v="2"/>
    </i>
    <i>
      <x v="4"/>
      <x/>
    </i>
    <i r="1" i="1">
      <x v="1"/>
    </i>
    <i r="1" i="2">
      <x v="2"/>
    </i>
    <i>
      <x v="5"/>
      <x/>
    </i>
    <i r="1" i="1">
      <x v="1"/>
    </i>
    <i r="1" i="2">
      <x v="2"/>
    </i>
    <i>
      <x v="6"/>
      <x/>
    </i>
    <i r="1" i="1">
      <x v="1"/>
    </i>
    <i r="1" i="2">
      <x v="2"/>
    </i>
    <i>
      <x v="7"/>
      <x/>
    </i>
    <i r="1" i="1">
      <x v="1"/>
    </i>
    <i r="1" i="2">
      <x v="2"/>
    </i>
    <i>
      <x v="8"/>
      <x/>
    </i>
    <i r="1" i="1">
      <x v="1"/>
    </i>
    <i r="1" i="2">
      <x v="2"/>
    </i>
    <i>
      <x v="10"/>
      <x/>
    </i>
    <i r="1" i="1">
      <x v="1"/>
    </i>
    <i r="1" i="2">
      <x v="2"/>
    </i>
    <i>
      <x v="11"/>
      <x/>
    </i>
    <i r="1" i="1">
      <x v="1"/>
    </i>
    <i r="1" i="2">
      <x v="2"/>
    </i>
    <i>
      <x v="12"/>
      <x/>
    </i>
    <i r="1" i="1">
      <x v="1"/>
    </i>
    <i r="1" i="2">
      <x v="2"/>
    </i>
    <i>
      <x v="13"/>
      <x/>
    </i>
    <i r="1" i="1">
      <x v="1"/>
    </i>
    <i r="1" i="2">
      <x v="2"/>
    </i>
    <i>
      <x v="14"/>
      <x/>
    </i>
    <i r="1" i="1">
      <x v="1"/>
    </i>
    <i r="1" i="2">
      <x v="2"/>
    </i>
    <i t="grand">
      <x/>
    </i>
    <i t="grand" i="1">
      <x/>
    </i>
    <i t="grand" i="2">
      <x/>
    </i>
  </rowItems>
  <colFields count="1">
    <field x="1"/>
  </colFields>
  <colItems count="2">
    <i>
      <x v="4"/>
    </i>
    <i t="grand">
      <x/>
    </i>
  </colItems>
  <pageFields count="1">
    <pageField fld="2" item="2" hier="-1"/>
  </pageFields>
  <dataFields count="3">
    <dataField name="Somme de Nombre" fld="4" baseField="2" baseItem="0"/>
    <dataField name="Somme de Poids carcasse" fld="5" baseField="3" baseItem="4"/>
    <dataField name="Somme de Montant" fld="6" baseField="2" baseItem="0"/>
  </dataFields>
  <formats count="14">
    <format dxfId="36">
      <pivotArea outline="0" collapsedLevelsAreSubtotals="1" fieldPosition="0"/>
    </format>
    <format dxfId="35">
      <pivotArea field="3" dataOnly="0" labelOnly="1" grandRow="1" outline="0" offset="IV256" axis="axisRow" fieldPosition="0">
        <references count="1">
          <reference field="4294967294" count="1" selected="0">
            <x v="0"/>
          </reference>
        </references>
      </pivotArea>
    </format>
    <format dxfId="34">
      <pivotArea field="3" dataOnly="0" labelOnly="1" grandRow="1" outline="0" offset="IV256" axis="axisRow" fieldPosition="0">
        <references count="1">
          <reference field="4294967294" count="1" selected="0">
            <x v="2"/>
          </reference>
        </references>
      </pivotArea>
    </format>
    <format dxfId="33">
      <pivotArea dataOnly="0" labelOnly="1" outline="0" fieldPosition="0">
        <references count="2">
          <reference field="4294967294" count="2">
            <x v="0"/>
            <x v="2"/>
          </reference>
          <reference field="3" count="1" selected="0">
            <x v="0"/>
          </reference>
        </references>
      </pivotArea>
    </format>
    <format dxfId="32">
      <pivotArea dataOnly="0" labelOnly="1" outline="0" fieldPosition="0">
        <references count="2">
          <reference field="4294967294" count="2">
            <x v="0"/>
            <x v="2"/>
          </reference>
          <reference field="3" count="1" selected="0">
            <x v="1"/>
          </reference>
        </references>
      </pivotArea>
    </format>
    <format dxfId="31">
      <pivotArea dataOnly="0" labelOnly="1" outline="0" fieldPosition="0">
        <references count="2">
          <reference field="4294967294" count="2">
            <x v="0"/>
            <x v="2"/>
          </reference>
          <reference field="3" count="1" selected="0">
            <x v="2"/>
          </reference>
        </references>
      </pivotArea>
    </format>
    <format dxfId="30">
      <pivotArea dataOnly="0" labelOnly="1" outline="0" fieldPosition="0">
        <references count="2">
          <reference field="4294967294" count="2">
            <x v="0"/>
            <x v="2"/>
          </reference>
          <reference field="3" count="1" selected="0">
            <x v="3"/>
          </reference>
        </references>
      </pivotArea>
    </format>
    <format dxfId="29">
      <pivotArea dataOnly="0" labelOnly="1" outline="0" fieldPosition="0">
        <references count="2">
          <reference field="4294967294" count="2">
            <x v="0"/>
            <x v="2"/>
          </reference>
          <reference field="3" count="1" selected="0">
            <x v="4"/>
          </reference>
        </references>
      </pivotArea>
    </format>
    <format dxfId="28">
      <pivotArea dataOnly="0" labelOnly="1" outline="0" fieldPosition="0">
        <references count="2">
          <reference field="4294967294" count="2">
            <x v="0"/>
            <x v="2"/>
          </reference>
          <reference field="3" count="1" selected="0">
            <x v="5"/>
          </reference>
        </references>
      </pivotArea>
    </format>
    <format dxfId="27">
      <pivotArea dataOnly="0" labelOnly="1" outline="0" fieldPosition="0">
        <references count="2">
          <reference field="4294967294" count="2">
            <x v="0"/>
            <x v="2"/>
          </reference>
          <reference field="3" count="1" selected="0">
            <x v="10"/>
          </reference>
        </references>
      </pivotArea>
    </format>
    <format dxfId="26">
      <pivotArea dataOnly="0" labelOnly="1" outline="0" fieldPosition="0">
        <references count="2">
          <reference field="4294967294" count="2">
            <x v="0"/>
            <x v="2"/>
          </reference>
          <reference field="3" count="1" selected="0">
            <x v="11"/>
          </reference>
        </references>
      </pivotArea>
    </format>
    <format dxfId="25">
      <pivotArea dataOnly="0" labelOnly="1" outline="0" fieldPosition="0">
        <references count="2">
          <reference field="4294967294" count="2">
            <x v="0"/>
            <x v="2"/>
          </reference>
          <reference field="3" count="1" selected="0">
            <x v="6"/>
          </reference>
        </references>
      </pivotArea>
    </format>
    <format dxfId="24">
      <pivotArea dataOnly="0" labelOnly="1" outline="0" fieldPosition="0">
        <references count="2">
          <reference field="4294967294" count="2">
            <x v="0"/>
            <x v="2"/>
          </reference>
          <reference field="3" count="1" selected="0">
            <x v="7"/>
          </reference>
        </references>
      </pivotArea>
    </format>
    <format dxfId="23">
      <pivotArea dataOnly="0" labelOnly="1" outline="0" fieldPosition="0">
        <references count="2">
          <reference field="4294967294" count="2">
            <x v="0"/>
            <x v="2"/>
          </reference>
          <reference field="3" count="1" selected="0">
            <x v="8"/>
          </reference>
        </references>
      </pivotArea>
    </format>
  </formats>
  <pivotTableStyleInfo name="PivotStyleMedium9" showRowHeaders="1" showColHeaders="1" showRowStripes="0" showColStripes="0" showLastColumn="1"/>
  <filters count="1">
    <filter fld="3" type="captionNotContains" evalOrder="-1" id="3" stringValue1="(">
      <autoFilter ref="A1">
        <filterColumn colId="0">
          <customFilters>
            <customFilter operator="notEqual" val="*(*"/>
          </customFilters>
        </filterColumn>
      </autoFilter>
    </filter>
  </filters>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6EA8E91-1F45-4746-820D-C5EDF93F5A44}" name="Tableau croisé dynamique2" cacheId="0" dataOnRows="1" applyNumberFormats="0" applyBorderFormats="0" applyFontFormats="0" applyPatternFormats="0" applyAlignmentFormats="0" applyWidthHeightFormats="1" dataCaption="Valeurs" showError="1" updatedVersion="8" minRefreshableVersion="3" showDrill="0" itemPrintTitles="1" createdVersion="5" indent="0" showHeaders="0" compact="0" compactData="0" multipleFieldFilters="0">
  <location ref="A104:J278" firstHeaderRow="0" firstDataRow="1" firstDataCol="3"/>
  <pivotFields count="11">
    <pivotField compact="0" outline="0" showAll="0"/>
    <pivotField axis="axisCol" compact="0" outline="0" showAll="0">
      <items count="8">
        <item n="Adulte" x="0"/>
        <item x="3"/>
        <item x="4"/>
        <item x="5"/>
        <item x="2"/>
        <item x="1"/>
        <item n="Adulte2" x="6"/>
        <item t="default"/>
      </items>
    </pivotField>
    <pivotField axis="axisRow" compact="0" outline="0" showAll="0" defaultSubtotal="0">
      <items count="4">
        <item x="1"/>
        <item x="2"/>
        <item x="3"/>
        <item x="0"/>
      </items>
    </pivotField>
    <pivotField axis="axisRow" compact="0" outline="0" showAll="0" defaultSubtotal="0">
      <items count="16">
        <item x="6"/>
        <item x="4"/>
        <item x="5"/>
        <item x="10"/>
        <item x="9"/>
        <item x="8"/>
        <item x="13"/>
        <item x="14"/>
        <item x="7"/>
        <item x="0"/>
        <item x="11"/>
        <item x="12"/>
        <item x="2"/>
        <item x="15"/>
        <item x="3"/>
        <item x="1"/>
      </items>
    </pivotField>
    <pivotField dataField="1" compact="0" outline="0" showAll="0"/>
    <pivotField dataField="1" compact="0" outline="0" showAll="0" defaultSubtotal="0"/>
    <pivotField dataField="1" compact="0" outline="0" showAll="0"/>
    <pivotField compact="0" outline="0" showAll="0" defaultSubtotal="0"/>
    <pivotField compact="0" outline="0" showAll="0"/>
    <pivotField compact="0" outline="0" showAll="0"/>
    <pivotField compact="0" outline="0" showAll="0"/>
  </pivotFields>
  <rowFields count="3">
    <field x="3"/>
    <field x="2"/>
    <field x="-2"/>
  </rowFields>
  <rowItems count="174">
    <i>
      <x/>
      <x/>
      <x/>
    </i>
    <i r="2" i="1">
      <x v="1"/>
    </i>
    <i r="2" i="2">
      <x v="2"/>
    </i>
    <i r="1">
      <x v="1"/>
      <x/>
    </i>
    <i r="2" i="1">
      <x v="1"/>
    </i>
    <i r="2" i="2">
      <x v="2"/>
    </i>
    <i r="1">
      <x v="2"/>
      <x/>
    </i>
    <i r="2" i="1">
      <x v="1"/>
    </i>
    <i r="2" i="2">
      <x v="2"/>
    </i>
    <i r="1">
      <x v="3"/>
      <x/>
    </i>
    <i r="2" i="1">
      <x v="1"/>
    </i>
    <i r="2" i="2">
      <x v="2"/>
    </i>
    <i>
      <x v="1"/>
      <x/>
      <x/>
    </i>
    <i r="2" i="1">
      <x v="1"/>
    </i>
    <i r="2" i="2">
      <x v="2"/>
    </i>
    <i r="1">
      <x v="1"/>
      <x/>
    </i>
    <i r="2" i="1">
      <x v="1"/>
    </i>
    <i r="2" i="2">
      <x v="2"/>
    </i>
    <i r="1">
      <x v="2"/>
      <x/>
    </i>
    <i r="2" i="1">
      <x v="1"/>
    </i>
    <i r="2" i="2">
      <x v="2"/>
    </i>
    <i r="1">
      <x v="3"/>
      <x/>
    </i>
    <i r="2" i="1">
      <x v="1"/>
    </i>
    <i r="2" i="2">
      <x v="2"/>
    </i>
    <i>
      <x v="2"/>
      <x/>
      <x/>
    </i>
    <i r="2" i="1">
      <x v="1"/>
    </i>
    <i r="2" i="2">
      <x v="2"/>
    </i>
    <i r="1">
      <x v="1"/>
      <x/>
    </i>
    <i r="2" i="1">
      <x v="1"/>
    </i>
    <i r="2" i="2">
      <x v="2"/>
    </i>
    <i r="1">
      <x v="2"/>
      <x/>
    </i>
    <i r="2" i="1">
      <x v="1"/>
    </i>
    <i r="2" i="2">
      <x v="2"/>
    </i>
    <i r="1">
      <x v="3"/>
      <x/>
    </i>
    <i r="2" i="1">
      <x v="1"/>
    </i>
    <i r="2" i="2">
      <x v="2"/>
    </i>
    <i>
      <x v="3"/>
      <x/>
      <x/>
    </i>
    <i r="2" i="1">
      <x v="1"/>
    </i>
    <i r="2" i="2">
      <x v="2"/>
    </i>
    <i r="1">
      <x v="1"/>
      <x/>
    </i>
    <i r="2" i="1">
      <x v="1"/>
    </i>
    <i r="2" i="2">
      <x v="2"/>
    </i>
    <i r="1">
      <x v="2"/>
      <x/>
    </i>
    <i r="2" i="1">
      <x v="1"/>
    </i>
    <i r="2" i="2">
      <x v="2"/>
    </i>
    <i r="1">
      <x v="3"/>
      <x/>
    </i>
    <i r="2" i="1">
      <x v="1"/>
    </i>
    <i r="2" i="2">
      <x v="2"/>
    </i>
    <i>
      <x v="4"/>
      <x/>
      <x/>
    </i>
    <i r="2" i="1">
      <x v="1"/>
    </i>
    <i r="2" i="2">
      <x v="2"/>
    </i>
    <i r="1">
      <x v="1"/>
      <x/>
    </i>
    <i r="2" i="1">
      <x v="1"/>
    </i>
    <i r="2" i="2">
      <x v="2"/>
    </i>
    <i r="1">
      <x v="2"/>
      <x/>
    </i>
    <i r="2" i="1">
      <x v="1"/>
    </i>
    <i r="2" i="2">
      <x v="2"/>
    </i>
    <i r="1">
      <x v="3"/>
      <x/>
    </i>
    <i r="2" i="1">
      <x v="1"/>
    </i>
    <i r="2" i="2">
      <x v="2"/>
    </i>
    <i>
      <x v="5"/>
      <x/>
      <x/>
    </i>
    <i r="2" i="1">
      <x v="1"/>
    </i>
    <i r="2" i="2">
      <x v="2"/>
    </i>
    <i r="1">
      <x v="1"/>
      <x/>
    </i>
    <i r="2" i="1">
      <x v="1"/>
    </i>
    <i r="2" i="2">
      <x v="2"/>
    </i>
    <i r="1">
      <x v="2"/>
      <x/>
    </i>
    <i r="2" i="1">
      <x v="1"/>
    </i>
    <i r="2" i="2">
      <x v="2"/>
    </i>
    <i r="1">
      <x v="3"/>
      <x/>
    </i>
    <i r="2" i="1">
      <x v="1"/>
    </i>
    <i r="2" i="2">
      <x v="2"/>
    </i>
    <i>
      <x v="6"/>
      <x/>
      <x/>
    </i>
    <i r="2" i="1">
      <x v="1"/>
    </i>
    <i r="2" i="2">
      <x v="2"/>
    </i>
    <i r="1">
      <x v="1"/>
      <x/>
    </i>
    <i r="2" i="1">
      <x v="1"/>
    </i>
    <i r="2" i="2">
      <x v="2"/>
    </i>
    <i r="1">
      <x v="2"/>
      <x/>
    </i>
    <i r="2" i="1">
      <x v="1"/>
    </i>
    <i r="2" i="2">
      <x v="2"/>
    </i>
    <i r="1">
      <x v="3"/>
      <x/>
    </i>
    <i r="2" i="1">
      <x v="1"/>
    </i>
    <i r="2" i="2">
      <x v="2"/>
    </i>
    <i>
      <x v="7"/>
      <x/>
      <x/>
    </i>
    <i r="2" i="1">
      <x v="1"/>
    </i>
    <i r="2" i="2">
      <x v="2"/>
    </i>
    <i r="1">
      <x v="1"/>
      <x/>
    </i>
    <i r="2" i="1">
      <x v="1"/>
    </i>
    <i r="2" i="2">
      <x v="2"/>
    </i>
    <i r="1">
      <x v="2"/>
      <x/>
    </i>
    <i r="2" i="1">
      <x v="1"/>
    </i>
    <i r="2" i="2">
      <x v="2"/>
    </i>
    <i r="1">
      <x v="3"/>
      <x/>
    </i>
    <i r="2" i="1">
      <x v="1"/>
    </i>
    <i r="2" i="2">
      <x v="2"/>
    </i>
    <i>
      <x v="8"/>
      <x/>
      <x/>
    </i>
    <i r="2" i="1">
      <x v="1"/>
    </i>
    <i r="2" i="2">
      <x v="2"/>
    </i>
    <i r="1">
      <x v="1"/>
      <x/>
    </i>
    <i r="2" i="1">
      <x v="1"/>
    </i>
    <i r="2" i="2">
      <x v="2"/>
    </i>
    <i r="1">
      <x v="2"/>
      <x/>
    </i>
    <i r="2" i="1">
      <x v="1"/>
    </i>
    <i r="2" i="2">
      <x v="2"/>
    </i>
    <i r="1">
      <x v="3"/>
      <x/>
    </i>
    <i r="2" i="1">
      <x v="1"/>
    </i>
    <i r="2" i="2">
      <x v="2"/>
    </i>
    <i>
      <x v="10"/>
      <x/>
      <x/>
    </i>
    <i r="2" i="1">
      <x v="1"/>
    </i>
    <i r="2" i="2">
      <x v="2"/>
    </i>
    <i r="1">
      <x v="1"/>
      <x/>
    </i>
    <i r="2" i="1">
      <x v="1"/>
    </i>
    <i r="2" i="2">
      <x v="2"/>
    </i>
    <i r="1">
      <x v="2"/>
      <x/>
    </i>
    <i r="2" i="1">
      <x v="1"/>
    </i>
    <i r="2" i="2">
      <x v="2"/>
    </i>
    <i r="1">
      <x v="3"/>
      <x/>
    </i>
    <i r="2" i="1">
      <x v="1"/>
    </i>
    <i r="2" i="2">
      <x v="2"/>
    </i>
    <i>
      <x v="11"/>
      <x/>
      <x/>
    </i>
    <i r="2" i="1">
      <x v="1"/>
    </i>
    <i r="2" i="2">
      <x v="2"/>
    </i>
    <i r="1">
      <x v="1"/>
      <x/>
    </i>
    <i r="2" i="1">
      <x v="1"/>
    </i>
    <i r="2" i="2">
      <x v="2"/>
    </i>
    <i r="1">
      <x v="2"/>
      <x/>
    </i>
    <i r="2" i="1">
      <x v="1"/>
    </i>
    <i r="2" i="2">
      <x v="2"/>
    </i>
    <i r="1">
      <x v="3"/>
      <x/>
    </i>
    <i r="2" i="1">
      <x v="1"/>
    </i>
    <i r="2" i="2">
      <x v="2"/>
    </i>
    <i>
      <x v="12"/>
      <x/>
      <x/>
    </i>
    <i r="2" i="1">
      <x v="1"/>
    </i>
    <i r="2" i="2">
      <x v="2"/>
    </i>
    <i r="1">
      <x v="1"/>
      <x/>
    </i>
    <i r="2" i="1">
      <x v="1"/>
    </i>
    <i r="2" i="2">
      <x v="2"/>
    </i>
    <i r="1">
      <x v="2"/>
      <x/>
    </i>
    <i r="2" i="1">
      <x v="1"/>
    </i>
    <i r="2" i="2">
      <x v="2"/>
    </i>
    <i r="1">
      <x v="3"/>
      <x/>
    </i>
    <i r="2" i="1">
      <x v="1"/>
    </i>
    <i r="2" i="2">
      <x v="2"/>
    </i>
    <i>
      <x v="13"/>
      <x/>
      <x/>
    </i>
    <i r="2" i="1">
      <x v="1"/>
    </i>
    <i r="2" i="2">
      <x v="2"/>
    </i>
    <i r="1">
      <x v="1"/>
      <x/>
    </i>
    <i r="2" i="1">
      <x v="1"/>
    </i>
    <i r="2" i="2">
      <x v="2"/>
    </i>
    <i r="1">
      <x v="2"/>
      <x/>
    </i>
    <i r="2" i="1">
      <x v="1"/>
    </i>
    <i r="2" i="2">
      <x v="2"/>
    </i>
    <i r="1">
      <x v="3"/>
      <x/>
    </i>
    <i r="2" i="1">
      <x v="1"/>
    </i>
    <i r="2" i="2">
      <x v="2"/>
    </i>
    <i>
      <x v="14"/>
      <x/>
      <x/>
    </i>
    <i r="2" i="1">
      <x v="1"/>
    </i>
    <i r="2" i="2">
      <x v="2"/>
    </i>
    <i r="1">
      <x v="1"/>
      <x/>
    </i>
    <i r="2" i="1">
      <x v="1"/>
    </i>
    <i r="2" i="2">
      <x v="2"/>
    </i>
    <i r="1">
      <x v="2"/>
      <x/>
    </i>
    <i r="2" i="1">
      <x v="1"/>
    </i>
    <i r="2" i="2">
      <x v="2"/>
    </i>
    <i r="1">
      <x v="3"/>
      <x/>
    </i>
    <i r="2" i="1">
      <x v="1"/>
    </i>
    <i r="2" i="2">
      <x v="2"/>
    </i>
    <i>
      <x v="15"/>
      <x/>
      <x/>
    </i>
    <i r="2" i="1">
      <x v="1"/>
    </i>
    <i r="2" i="2">
      <x v="2"/>
    </i>
    <i t="grand">
      <x/>
    </i>
    <i t="grand" i="1">
      <x/>
    </i>
    <i t="grand" i="2">
      <x/>
    </i>
  </rowItems>
  <colFields count="1">
    <field x="1"/>
  </colFields>
  <colItems count="7">
    <i>
      <x v="1"/>
    </i>
    <i>
      <x v="2"/>
    </i>
    <i>
      <x v="3"/>
    </i>
    <i>
      <x v="4"/>
    </i>
    <i>
      <x v="5"/>
    </i>
    <i>
      <x v="6"/>
    </i>
    <i t="grand">
      <x/>
    </i>
  </colItems>
  <dataFields count="3">
    <dataField name="Somme de Nombre" fld="4" baseField="2" baseItem="0"/>
    <dataField name="Somme de Poids carcasse" fld="5" baseField="3" baseItem="4"/>
    <dataField name="Somme de Montant" fld="6" baseField="2" baseItem="0"/>
  </dataFields>
  <formats count="12">
    <format dxfId="48">
      <pivotArea outline="0" collapsedLevelsAreSubtotals="1" fieldPosition="0"/>
    </format>
    <format dxfId="47">
      <pivotArea dataOnly="0" labelOnly="1" outline="0" fieldPosition="0">
        <references count="2">
          <reference field="4294967294" count="2">
            <x v="0"/>
            <x v="2"/>
          </reference>
          <reference field="3" count="1" selected="0">
            <x v="0"/>
          </reference>
        </references>
      </pivotArea>
    </format>
    <format dxfId="46">
      <pivotArea dataOnly="0" labelOnly="1" outline="0" fieldPosition="0">
        <references count="2">
          <reference field="4294967294" count="2">
            <x v="0"/>
            <x v="2"/>
          </reference>
          <reference field="3" count="1" selected="0">
            <x v="1"/>
          </reference>
        </references>
      </pivotArea>
    </format>
    <format dxfId="45">
      <pivotArea dataOnly="0" labelOnly="1" outline="0" fieldPosition="0">
        <references count="2">
          <reference field="4294967294" count="2">
            <x v="0"/>
            <x v="2"/>
          </reference>
          <reference field="3" count="1" selected="0">
            <x v="2"/>
          </reference>
        </references>
      </pivotArea>
    </format>
    <format dxfId="44">
      <pivotArea dataOnly="0" labelOnly="1" outline="0" fieldPosition="0">
        <references count="2">
          <reference field="4294967294" count="2">
            <x v="0"/>
            <x v="2"/>
          </reference>
          <reference field="3" count="1" selected="0">
            <x v="3"/>
          </reference>
        </references>
      </pivotArea>
    </format>
    <format dxfId="43">
      <pivotArea dataOnly="0" labelOnly="1" outline="0" fieldPosition="0">
        <references count="2">
          <reference field="4294967294" count="2">
            <x v="0"/>
            <x v="2"/>
          </reference>
          <reference field="3" count="1" selected="0">
            <x v="4"/>
          </reference>
        </references>
      </pivotArea>
    </format>
    <format dxfId="42">
      <pivotArea dataOnly="0" labelOnly="1" outline="0" fieldPosition="0">
        <references count="2">
          <reference field="4294967294" count="2">
            <x v="0"/>
            <x v="2"/>
          </reference>
          <reference field="3" count="1" selected="0">
            <x v="5"/>
          </reference>
        </references>
      </pivotArea>
    </format>
    <format dxfId="41">
      <pivotArea dataOnly="0" labelOnly="1" outline="0" fieldPosition="0">
        <references count="2">
          <reference field="4294967294" count="2">
            <x v="0"/>
            <x v="2"/>
          </reference>
          <reference field="3" count="1" selected="0">
            <x v="10"/>
          </reference>
        </references>
      </pivotArea>
    </format>
    <format dxfId="40">
      <pivotArea dataOnly="0" labelOnly="1" outline="0" fieldPosition="0">
        <references count="2">
          <reference field="4294967294" count="2">
            <x v="0"/>
            <x v="2"/>
          </reference>
          <reference field="3" count="1" selected="0">
            <x v="11"/>
          </reference>
        </references>
      </pivotArea>
    </format>
    <format dxfId="39">
      <pivotArea dataOnly="0" labelOnly="1" outline="0" fieldPosition="0">
        <references count="2">
          <reference field="4294967294" count="2">
            <x v="0"/>
            <x v="2"/>
          </reference>
          <reference field="3" count="1" selected="0">
            <x v="6"/>
          </reference>
        </references>
      </pivotArea>
    </format>
    <format dxfId="38">
      <pivotArea dataOnly="0" labelOnly="1" outline="0" fieldPosition="0">
        <references count="2">
          <reference field="4294967294" count="2">
            <x v="0"/>
            <x v="2"/>
          </reference>
          <reference field="3" count="1" selected="0">
            <x v="7"/>
          </reference>
        </references>
      </pivotArea>
    </format>
    <format dxfId="37">
      <pivotArea dataOnly="0" labelOnly="1" outline="0" fieldPosition="0">
        <references count="2">
          <reference field="4294967294" count="2">
            <x v="0"/>
            <x v="2"/>
          </reference>
          <reference field="3" count="1" selected="0">
            <x v="8"/>
          </reference>
        </references>
      </pivotArea>
    </format>
  </formats>
  <pivotTableStyleInfo name="PivotStyleMedium9" showRowHeaders="1" showColHeaders="1" showRowStripes="0" showColStripes="0" showLastColumn="1"/>
  <filters count="1">
    <filter fld="3" type="captionNotContains" evalOrder="-1" id="3" stringValue1="(">
      <autoFilter ref="A1">
        <filterColumn colId="0">
          <customFilters>
            <customFilter operator="notEqual" val="*(*"/>
          </customFilters>
        </filterColumn>
      </autoFilter>
    </filter>
  </filters>
  <extLs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DBB96EC-5E52-4A2C-B50C-7EF4D5211A73}" name="Tableau croisé dynamique1" cacheId="0" dataOnRows="1" applyNumberFormats="0" applyBorderFormats="0" applyFontFormats="0" applyPatternFormats="0" applyAlignmentFormats="0" applyWidthHeightFormats="1" dataCaption="Valeurs" showError="1" updatedVersion="8" minRefreshableVersion="3" showDrill="0" itemPrintTitles="1" createdVersion="5" indent="0" showHeaders="0" compact="0" compactData="0" multipleFieldFilters="0">
  <location ref="A2:I50" firstHeaderRow="0" firstDataRow="1" firstDataCol="2"/>
  <pivotFields count="11">
    <pivotField compact="0" outline="0" showAll="0"/>
    <pivotField axis="axisCol" compact="0" outline="0" showAll="0">
      <items count="8">
        <item x="6"/>
        <item x="2"/>
        <item x="3"/>
        <item x="4"/>
        <item x="5"/>
        <item h="1" x="0"/>
        <item x="1"/>
        <item t="default"/>
      </items>
    </pivotField>
    <pivotField compact="0" outline="0" showAll="0"/>
    <pivotField axis="axisRow" compact="0" outline="0" showAll="0">
      <items count="17">
        <item x="4"/>
        <item x="3"/>
        <item x="6"/>
        <item x="5"/>
        <item x="10"/>
        <item x="9"/>
        <item x="7"/>
        <item x="8"/>
        <item x="13"/>
        <item x="14"/>
        <item x="12"/>
        <item x="15"/>
        <item x="11"/>
        <item x="2"/>
        <item x="0"/>
        <item x="1"/>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pivotField compact="0" outline="0" showAll="0"/>
  </pivotFields>
  <rowFields count="2">
    <field x="3"/>
    <field x="-2"/>
  </rowFields>
  <rowItems count="48">
    <i>
      <x/>
      <x/>
    </i>
    <i r="1" i="1">
      <x v="1"/>
    </i>
    <i r="1" i="2">
      <x v="2"/>
    </i>
    <i>
      <x v="1"/>
      <x/>
    </i>
    <i r="1" i="1">
      <x v="1"/>
    </i>
    <i r="1" i="2">
      <x v="2"/>
    </i>
    <i>
      <x v="2"/>
      <x/>
    </i>
    <i r="1" i="1">
      <x v="1"/>
    </i>
    <i r="1" i="2">
      <x v="2"/>
    </i>
    <i>
      <x v="3"/>
      <x/>
    </i>
    <i r="1" i="1">
      <x v="1"/>
    </i>
    <i r="1" i="2">
      <x v="2"/>
    </i>
    <i>
      <x v="4"/>
      <x/>
    </i>
    <i r="1" i="1">
      <x v="1"/>
    </i>
    <i r="1" i="2">
      <x v="2"/>
    </i>
    <i>
      <x v="5"/>
      <x/>
    </i>
    <i r="1" i="1">
      <x v="1"/>
    </i>
    <i r="1" i="2">
      <x v="2"/>
    </i>
    <i>
      <x v="6"/>
      <x/>
    </i>
    <i r="1" i="1">
      <x v="1"/>
    </i>
    <i r="1" i="2">
      <x v="2"/>
    </i>
    <i>
      <x v="7"/>
      <x/>
    </i>
    <i r="1" i="1">
      <x v="1"/>
    </i>
    <i r="1" i="2">
      <x v="2"/>
    </i>
    <i>
      <x v="8"/>
      <x/>
    </i>
    <i r="1" i="1">
      <x v="1"/>
    </i>
    <i r="1" i="2">
      <x v="2"/>
    </i>
    <i>
      <x v="9"/>
      <x/>
    </i>
    <i r="1" i="1">
      <x v="1"/>
    </i>
    <i r="1" i="2">
      <x v="2"/>
    </i>
    <i>
      <x v="10"/>
      <x/>
    </i>
    <i r="1" i="1">
      <x v="1"/>
    </i>
    <i r="1" i="2">
      <x v="2"/>
    </i>
    <i>
      <x v="11"/>
      <x/>
    </i>
    <i r="1" i="1">
      <x v="1"/>
    </i>
    <i r="1" i="2">
      <x v="2"/>
    </i>
    <i>
      <x v="12"/>
      <x/>
    </i>
    <i r="1" i="1">
      <x v="1"/>
    </i>
    <i r="1" i="2">
      <x v="2"/>
    </i>
    <i>
      <x v="13"/>
      <x/>
    </i>
    <i r="1" i="1">
      <x v="1"/>
    </i>
    <i r="1" i="2">
      <x v="2"/>
    </i>
    <i>
      <x v="15"/>
      <x/>
    </i>
    <i r="1" i="1">
      <x v="1"/>
    </i>
    <i r="1" i="2">
      <x v="2"/>
    </i>
    <i t="grand">
      <x/>
    </i>
    <i t="grand" i="1">
      <x/>
    </i>
    <i t="grand" i="2">
      <x/>
    </i>
  </rowItems>
  <colFields count="1">
    <field x="1"/>
  </colFields>
  <colItems count="7">
    <i>
      <x/>
    </i>
    <i>
      <x v="1"/>
    </i>
    <i>
      <x v="2"/>
    </i>
    <i>
      <x v="3"/>
    </i>
    <i>
      <x v="4"/>
    </i>
    <i>
      <x v="6"/>
    </i>
    <i t="grand">
      <x/>
    </i>
  </colItems>
  <dataFields count="3">
    <dataField name="Somme de Nombre" fld="4" baseField="0" baseItem="0"/>
    <dataField name="Somme de Poids carcasse" fld="5" baseField="0" baseItem="0"/>
    <dataField name="Somme de Montant" fld="6" baseField="0" baseItem="0"/>
  </dataFields>
  <formats count="63">
    <format dxfId="111">
      <pivotArea type="all" dataOnly="0" outline="0" fieldPosition="0"/>
    </format>
    <format dxfId="110">
      <pivotArea outline="0" collapsedLevelsAreSubtotals="1" fieldPosition="0"/>
    </format>
    <format dxfId="109">
      <pivotArea dataOnly="0" labelOnly="1" outline="0" fieldPosition="0">
        <references count="1">
          <reference field="3" count="14">
            <x v="0"/>
            <x v="1"/>
            <x v="2"/>
            <x v="3"/>
            <x v="4"/>
            <x v="5"/>
            <x v="6"/>
            <x v="7"/>
            <x v="8"/>
            <x v="9"/>
            <x v="10"/>
            <x v="11"/>
            <x v="12"/>
            <x v="13"/>
          </reference>
        </references>
      </pivotArea>
    </format>
    <format dxfId="108">
      <pivotArea dataOnly="0" labelOnly="1" outline="0" fieldPosition="0">
        <references count="2">
          <reference field="4294967294" count="3">
            <x v="0"/>
            <x v="1"/>
            <x v="2"/>
          </reference>
          <reference field="3" count="1" selected="0">
            <x v="2"/>
          </reference>
        </references>
      </pivotArea>
    </format>
    <format dxfId="107">
      <pivotArea dataOnly="0" labelOnly="1" outline="0" fieldPosition="0">
        <references count="2">
          <reference field="4294967294" count="3">
            <x v="0"/>
            <x v="1"/>
            <x v="2"/>
          </reference>
          <reference field="3" count="1" selected="0">
            <x v="0"/>
          </reference>
        </references>
      </pivotArea>
    </format>
    <format dxfId="106">
      <pivotArea dataOnly="0" labelOnly="1" outline="0" fieldPosition="0">
        <references count="2">
          <reference field="4294967294" count="3">
            <x v="0"/>
            <x v="1"/>
            <x v="2"/>
          </reference>
          <reference field="3" count="1" selected="0">
            <x v="1"/>
          </reference>
        </references>
      </pivotArea>
    </format>
    <format dxfId="105">
      <pivotArea dataOnly="0" labelOnly="1" outline="0" fieldPosition="0">
        <references count="2">
          <reference field="4294967294" count="3">
            <x v="0"/>
            <x v="1"/>
            <x v="2"/>
          </reference>
          <reference field="3" count="1" selected="0">
            <x v="3"/>
          </reference>
        </references>
      </pivotArea>
    </format>
    <format dxfId="104">
      <pivotArea dataOnly="0" labelOnly="1" outline="0" fieldPosition="0">
        <references count="2">
          <reference field="4294967294" count="3">
            <x v="0"/>
            <x v="1"/>
            <x v="2"/>
          </reference>
          <reference field="3" count="1" selected="0">
            <x v="4"/>
          </reference>
        </references>
      </pivotArea>
    </format>
    <format dxfId="103">
      <pivotArea dataOnly="0" labelOnly="1" outline="0" fieldPosition="0">
        <references count="2">
          <reference field="4294967294" count="3">
            <x v="0"/>
            <x v="1"/>
            <x v="2"/>
          </reference>
          <reference field="3" count="1" selected="0">
            <x v="5"/>
          </reference>
        </references>
      </pivotArea>
    </format>
    <format dxfId="102">
      <pivotArea dataOnly="0" labelOnly="1" outline="0" fieldPosition="0">
        <references count="2">
          <reference field="4294967294" count="3">
            <x v="0"/>
            <x v="1"/>
            <x v="2"/>
          </reference>
          <reference field="3" count="1" selected="0">
            <x v="6"/>
          </reference>
        </references>
      </pivotArea>
    </format>
    <format dxfId="101">
      <pivotArea dataOnly="0" labelOnly="1" outline="0" fieldPosition="0">
        <references count="2">
          <reference field="4294967294" count="3">
            <x v="0"/>
            <x v="1"/>
            <x v="2"/>
          </reference>
          <reference field="3" count="1" selected="0">
            <x v="7"/>
          </reference>
        </references>
      </pivotArea>
    </format>
    <format dxfId="100">
      <pivotArea dataOnly="0" labelOnly="1" outline="0" fieldPosition="0">
        <references count="2">
          <reference field="4294967294" count="3">
            <x v="0"/>
            <x v="1"/>
            <x v="2"/>
          </reference>
          <reference field="3" count="1" selected="0">
            <x v="8"/>
          </reference>
        </references>
      </pivotArea>
    </format>
    <format dxfId="99">
      <pivotArea dataOnly="0" labelOnly="1" outline="0" fieldPosition="0">
        <references count="2">
          <reference field="4294967294" count="3">
            <x v="0"/>
            <x v="1"/>
            <x v="2"/>
          </reference>
          <reference field="3" count="1" selected="0">
            <x v="9"/>
          </reference>
        </references>
      </pivotArea>
    </format>
    <format dxfId="98">
      <pivotArea dataOnly="0" labelOnly="1" outline="0" fieldPosition="0">
        <references count="2">
          <reference field="4294967294" count="3">
            <x v="0"/>
            <x v="1"/>
            <x v="2"/>
          </reference>
          <reference field="3" count="1" selected="0">
            <x v="10"/>
          </reference>
        </references>
      </pivotArea>
    </format>
    <format dxfId="97">
      <pivotArea dataOnly="0" labelOnly="1" outline="0" fieldPosition="0">
        <references count="2">
          <reference field="4294967294" count="3">
            <x v="0"/>
            <x v="1"/>
            <x v="2"/>
          </reference>
          <reference field="3" count="1" selected="0">
            <x v="11"/>
          </reference>
        </references>
      </pivotArea>
    </format>
    <format dxfId="96">
      <pivotArea dataOnly="0" labelOnly="1" outline="0" fieldPosition="0">
        <references count="2">
          <reference field="4294967294" count="3">
            <x v="0"/>
            <x v="1"/>
            <x v="2"/>
          </reference>
          <reference field="3" count="1" selected="0">
            <x v="12"/>
          </reference>
        </references>
      </pivotArea>
    </format>
    <format dxfId="95">
      <pivotArea dataOnly="0" labelOnly="1" outline="0" fieldPosition="0">
        <references count="2">
          <reference field="4294967294" count="3">
            <x v="0"/>
            <x v="1"/>
            <x v="2"/>
          </reference>
          <reference field="3" count="1" selected="0">
            <x v="13"/>
          </reference>
        </references>
      </pivotArea>
    </format>
    <format dxfId="94">
      <pivotArea field="3" grandRow="1" outline="0" axis="axisRow" fieldPosition="0">
        <references count="1">
          <reference field="4294967294" count="3" selected="0">
            <x v="0"/>
            <x v="1"/>
            <x v="2"/>
          </reference>
        </references>
      </pivotArea>
    </format>
    <format dxfId="93">
      <pivotArea field="3" dataOnly="0" labelOnly="1" grandRow="1" outline="0" axis="axisRow" fieldPosition="0">
        <references count="1">
          <reference field="4294967294" count="1" selected="0">
            <x v="0"/>
          </reference>
        </references>
      </pivotArea>
    </format>
    <format dxfId="92">
      <pivotArea field="3" dataOnly="0" labelOnly="1" grandRow="1" outline="0" axis="axisRow" fieldPosition="0">
        <references count="1">
          <reference field="4294967294" count="1" selected="0">
            <x v="1"/>
          </reference>
        </references>
      </pivotArea>
    </format>
    <format dxfId="91">
      <pivotArea field="3" dataOnly="0" labelOnly="1" grandRow="1" outline="0" axis="axisRow" fieldPosition="0">
        <references count="1">
          <reference field="4294967294" count="1" selected="0">
            <x v="2"/>
          </reference>
        </references>
      </pivotArea>
    </format>
    <format dxfId="90">
      <pivotArea outline="0" fieldPosition="0">
        <references count="2">
          <reference field="4294967294" count="3" selected="0">
            <x v="0"/>
            <x v="1"/>
            <x v="2"/>
          </reference>
          <reference field="3" count="1" selected="0">
            <x v="13"/>
          </reference>
        </references>
      </pivotArea>
    </format>
    <format dxfId="89">
      <pivotArea dataOnly="0" labelOnly="1" outline="0" fieldPosition="0">
        <references count="1">
          <reference field="3" count="1">
            <x v="13"/>
          </reference>
        </references>
      </pivotArea>
    </format>
    <format dxfId="88">
      <pivotArea dataOnly="0" labelOnly="1" outline="0" fieldPosition="0">
        <references count="2">
          <reference field="4294967294" count="3">
            <x v="0"/>
            <x v="1"/>
            <x v="2"/>
          </reference>
          <reference field="3" count="1" selected="0">
            <x v="13"/>
          </reference>
        </references>
      </pivotArea>
    </format>
    <format dxfId="87">
      <pivotArea outline="0" fieldPosition="0">
        <references count="2">
          <reference field="4294967294" count="3" selected="0">
            <x v="0"/>
            <x v="1"/>
            <x v="2"/>
          </reference>
          <reference field="3" count="1" selected="0">
            <x v="12"/>
          </reference>
        </references>
      </pivotArea>
    </format>
    <format dxfId="86">
      <pivotArea dataOnly="0" labelOnly="1" outline="0" fieldPosition="0">
        <references count="1">
          <reference field="3" count="1">
            <x v="12"/>
          </reference>
        </references>
      </pivotArea>
    </format>
    <format dxfId="85">
      <pivotArea dataOnly="0" labelOnly="1" outline="0" fieldPosition="0">
        <references count="2">
          <reference field="4294967294" count="3">
            <x v="0"/>
            <x v="1"/>
            <x v="2"/>
          </reference>
          <reference field="3" count="1" selected="0">
            <x v="12"/>
          </reference>
        </references>
      </pivotArea>
    </format>
    <format dxfId="84">
      <pivotArea outline="0" fieldPosition="0">
        <references count="2">
          <reference field="4294967294" count="3" selected="0">
            <x v="0"/>
            <x v="1"/>
            <x v="2"/>
          </reference>
          <reference field="3" count="1" selected="0">
            <x v="11"/>
          </reference>
        </references>
      </pivotArea>
    </format>
    <format dxfId="83">
      <pivotArea dataOnly="0" labelOnly="1" outline="0" fieldPosition="0">
        <references count="1">
          <reference field="3" count="1">
            <x v="11"/>
          </reference>
        </references>
      </pivotArea>
    </format>
    <format dxfId="82">
      <pivotArea dataOnly="0" labelOnly="1" outline="0" fieldPosition="0">
        <references count="2">
          <reference field="4294967294" count="3">
            <x v="0"/>
            <x v="1"/>
            <x v="2"/>
          </reference>
          <reference field="3" count="1" selected="0">
            <x v="11"/>
          </reference>
        </references>
      </pivotArea>
    </format>
    <format dxfId="81">
      <pivotArea outline="0" fieldPosition="0">
        <references count="2">
          <reference field="4294967294" count="3" selected="0">
            <x v="0"/>
            <x v="1"/>
            <x v="2"/>
          </reference>
          <reference field="3" count="1" selected="0">
            <x v="10"/>
          </reference>
        </references>
      </pivotArea>
    </format>
    <format dxfId="80">
      <pivotArea dataOnly="0" labelOnly="1" outline="0" fieldPosition="0">
        <references count="1">
          <reference field="3" count="1">
            <x v="10"/>
          </reference>
        </references>
      </pivotArea>
    </format>
    <format dxfId="79">
      <pivotArea dataOnly="0" labelOnly="1" outline="0" fieldPosition="0">
        <references count="2">
          <reference field="4294967294" count="3">
            <x v="0"/>
            <x v="1"/>
            <x v="2"/>
          </reference>
          <reference field="3" count="1" selected="0">
            <x v="10"/>
          </reference>
        </references>
      </pivotArea>
    </format>
    <format dxfId="78">
      <pivotArea outline="0" fieldPosition="0">
        <references count="2">
          <reference field="4294967294" count="3" selected="0">
            <x v="0"/>
            <x v="1"/>
            <x v="2"/>
          </reference>
          <reference field="3" count="1" selected="0">
            <x v="9"/>
          </reference>
        </references>
      </pivotArea>
    </format>
    <format dxfId="77">
      <pivotArea dataOnly="0" labelOnly="1" outline="0" fieldPosition="0">
        <references count="1">
          <reference field="3" count="1">
            <x v="9"/>
          </reference>
        </references>
      </pivotArea>
    </format>
    <format dxfId="76">
      <pivotArea dataOnly="0" labelOnly="1" outline="0" fieldPosition="0">
        <references count="2">
          <reference field="4294967294" count="3">
            <x v="0"/>
            <x v="1"/>
            <x v="2"/>
          </reference>
          <reference field="3" count="1" selected="0">
            <x v="9"/>
          </reference>
        </references>
      </pivotArea>
    </format>
    <format dxfId="75">
      <pivotArea outline="0" fieldPosition="0">
        <references count="2">
          <reference field="4294967294" count="3" selected="0">
            <x v="0"/>
            <x v="1"/>
            <x v="2"/>
          </reference>
          <reference field="3" count="1" selected="0">
            <x v="8"/>
          </reference>
        </references>
      </pivotArea>
    </format>
    <format dxfId="74">
      <pivotArea dataOnly="0" labelOnly="1" outline="0" fieldPosition="0">
        <references count="1">
          <reference field="3" count="1">
            <x v="8"/>
          </reference>
        </references>
      </pivotArea>
    </format>
    <format dxfId="73">
      <pivotArea dataOnly="0" labelOnly="1" outline="0" fieldPosition="0">
        <references count="2">
          <reference field="4294967294" count="3">
            <x v="0"/>
            <x v="1"/>
            <x v="2"/>
          </reference>
          <reference field="3" count="1" selected="0">
            <x v="8"/>
          </reference>
        </references>
      </pivotArea>
    </format>
    <format dxfId="72">
      <pivotArea outline="0" fieldPosition="0">
        <references count="2">
          <reference field="4294967294" count="3" selected="0">
            <x v="0"/>
            <x v="1"/>
            <x v="2"/>
          </reference>
          <reference field="3" count="1" selected="0">
            <x v="7"/>
          </reference>
        </references>
      </pivotArea>
    </format>
    <format dxfId="71">
      <pivotArea dataOnly="0" labelOnly="1" outline="0" fieldPosition="0">
        <references count="1">
          <reference field="3" count="1">
            <x v="7"/>
          </reference>
        </references>
      </pivotArea>
    </format>
    <format dxfId="70">
      <pivotArea dataOnly="0" labelOnly="1" outline="0" fieldPosition="0">
        <references count="2">
          <reference field="4294967294" count="3">
            <x v="0"/>
            <x v="1"/>
            <x v="2"/>
          </reference>
          <reference field="3" count="1" selected="0">
            <x v="7"/>
          </reference>
        </references>
      </pivotArea>
    </format>
    <format dxfId="69">
      <pivotArea outline="0" fieldPosition="0">
        <references count="2">
          <reference field="4294967294" count="3" selected="0">
            <x v="0"/>
            <x v="1"/>
            <x v="2"/>
          </reference>
          <reference field="3" count="1" selected="0">
            <x v="6"/>
          </reference>
        </references>
      </pivotArea>
    </format>
    <format dxfId="68">
      <pivotArea dataOnly="0" labelOnly="1" outline="0" fieldPosition="0">
        <references count="1">
          <reference field="3" count="1">
            <x v="6"/>
          </reference>
        </references>
      </pivotArea>
    </format>
    <format dxfId="67">
      <pivotArea dataOnly="0" labelOnly="1" outline="0" fieldPosition="0">
        <references count="2">
          <reference field="4294967294" count="3">
            <x v="0"/>
            <x v="1"/>
            <x v="2"/>
          </reference>
          <reference field="3" count="1" selected="0">
            <x v="6"/>
          </reference>
        </references>
      </pivotArea>
    </format>
    <format dxfId="66">
      <pivotArea outline="0" fieldPosition="0">
        <references count="2">
          <reference field="4294967294" count="3" selected="0">
            <x v="0"/>
            <x v="1"/>
            <x v="2"/>
          </reference>
          <reference field="3" count="1" selected="0">
            <x v="5"/>
          </reference>
        </references>
      </pivotArea>
    </format>
    <format dxfId="65">
      <pivotArea dataOnly="0" labelOnly="1" outline="0" fieldPosition="0">
        <references count="1">
          <reference field="3" count="1">
            <x v="5"/>
          </reference>
        </references>
      </pivotArea>
    </format>
    <format dxfId="64">
      <pivotArea dataOnly="0" labelOnly="1" outline="0" fieldPosition="0">
        <references count="2">
          <reference field="4294967294" count="3">
            <x v="0"/>
            <x v="1"/>
            <x v="2"/>
          </reference>
          <reference field="3" count="1" selected="0">
            <x v="5"/>
          </reference>
        </references>
      </pivotArea>
    </format>
    <format dxfId="63">
      <pivotArea outline="0" fieldPosition="0">
        <references count="2">
          <reference field="4294967294" count="3" selected="0">
            <x v="0"/>
            <x v="1"/>
            <x v="2"/>
          </reference>
          <reference field="3" count="1" selected="0">
            <x v="4"/>
          </reference>
        </references>
      </pivotArea>
    </format>
    <format dxfId="62">
      <pivotArea dataOnly="0" labelOnly="1" outline="0" fieldPosition="0">
        <references count="1">
          <reference field="3" count="1">
            <x v="4"/>
          </reference>
        </references>
      </pivotArea>
    </format>
    <format dxfId="61">
      <pivotArea dataOnly="0" labelOnly="1" outline="0" fieldPosition="0">
        <references count="2">
          <reference field="4294967294" count="3">
            <x v="0"/>
            <x v="1"/>
            <x v="2"/>
          </reference>
          <reference field="3" count="1" selected="0">
            <x v="4"/>
          </reference>
        </references>
      </pivotArea>
    </format>
    <format dxfId="60">
      <pivotArea outline="0" fieldPosition="0">
        <references count="2">
          <reference field="4294967294" count="3" selected="0">
            <x v="0"/>
            <x v="1"/>
            <x v="2"/>
          </reference>
          <reference field="3" count="1" selected="0">
            <x v="3"/>
          </reference>
        </references>
      </pivotArea>
    </format>
    <format dxfId="59">
      <pivotArea dataOnly="0" labelOnly="1" outline="0" fieldPosition="0">
        <references count="1">
          <reference field="3" count="1">
            <x v="3"/>
          </reference>
        </references>
      </pivotArea>
    </format>
    <format dxfId="58">
      <pivotArea dataOnly="0" labelOnly="1" outline="0" fieldPosition="0">
        <references count="2">
          <reference field="4294967294" count="3">
            <x v="0"/>
            <x v="1"/>
            <x v="2"/>
          </reference>
          <reference field="3" count="1" selected="0">
            <x v="3"/>
          </reference>
        </references>
      </pivotArea>
    </format>
    <format dxfId="57">
      <pivotArea outline="0" fieldPosition="0">
        <references count="2">
          <reference field="4294967294" count="3" selected="0">
            <x v="0"/>
            <x v="1"/>
            <x v="2"/>
          </reference>
          <reference field="3" count="1" selected="0">
            <x v="1"/>
          </reference>
        </references>
      </pivotArea>
    </format>
    <format dxfId="56">
      <pivotArea dataOnly="0" labelOnly="1" outline="0" fieldPosition="0">
        <references count="1">
          <reference field="3" count="1">
            <x v="1"/>
          </reference>
        </references>
      </pivotArea>
    </format>
    <format dxfId="55">
      <pivotArea dataOnly="0" labelOnly="1" outline="0" fieldPosition="0">
        <references count="2">
          <reference field="4294967294" count="3">
            <x v="0"/>
            <x v="1"/>
            <x v="2"/>
          </reference>
          <reference field="3" count="1" selected="0">
            <x v="1"/>
          </reference>
        </references>
      </pivotArea>
    </format>
    <format dxfId="54">
      <pivotArea outline="0" fieldPosition="0">
        <references count="2">
          <reference field="4294967294" count="3" selected="0">
            <x v="0"/>
            <x v="1"/>
            <x v="2"/>
          </reference>
          <reference field="3" count="1" selected="0">
            <x v="0"/>
          </reference>
        </references>
      </pivotArea>
    </format>
    <format dxfId="53">
      <pivotArea dataOnly="0" labelOnly="1" outline="0" fieldPosition="0">
        <references count="1">
          <reference field="3" count="1">
            <x v="0"/>
          </reference>
        </references>
      </pivotArea>
    </format>
    <format dxfId="52">
      <pivotArea dataOnly="0" labelOnly="1" outline="0" fieldPosition="0">
        <references count="2">
          <reference field="4294967294" count="3">
            <x v="0"/>
            <x v="1"/>
            <x v="2"/>
          </reference>
          <reference field="3" count="1" selected="0">
            <x v="0"/>
          </reference>
        </references>
      </pivotArea>
    </format>
    <format dxfId="51">
      <pivotArea outline="0" fieldPosition="0">
        <references count="2">
          <reference field="4294967294" count="3" selected="0">
            <x v="0"/>
            <x v="1"/>
            <x v="2"/>
          </reference>
          <reference field="3" count="1" selected="0">
            <x v="2"/>
          </reference>
        </references>
      </pivotArea>
    </format>
    <format dxfId="50">
      <pivotArea dataOnly="0" labelOnly="1" outline="0" fieldPosition="0">
        <references count="1">
          <reference field="3" count="1">
            <x v="2"/>
          </reference>
        </references>
      </pivotArea>
    </format>
    <format dxfId="49">
      <pivotArea dataOnly="0" labelOnly="1" outline="0" fieldPosition="0">
        <references count="2">
          <reference field="4294967294" count="3">
            <x v="0"/>
            <x v="1"/>
            <x v="2"/>
          </reference>
          <reference field="3" count="1" selected="0">
            <x v="2"/>
          </reference>
        </references>
      </pivotArea>
    </format>
  </formats>
  <pivotTableStyleInfo name="PivotStyleMedium9"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41C6C6-CCDF-47EA-ABA5-0E703F367DB1}" name="Tableau1" displayName="Tableau1" ref="A3:K444" totalsRowShown="0" headerRowDxfId="127" dataDxfId="125" headerRowBorderDxfId="126" tableBorderDxfId="124" totalsRowBorderDxfId="123">
  <autoFilter ref="A3:K444" xr:uid="{4A41C6C6-CCDF-47EA-ABA5-0E703F367DB1}"/>
  <tableColumns count="11">
    <tableColumn id="1" xr3:uid="{0BDC6261-2E6B-4BE5-9261-BD49616741B4}" name="Date" dataDxfId="122"/>
    <tableColumn id="2" xr3:uid="{9FAD61A5-DAD7-40E9-81F2-3BABC6C03C14}" name="Agnelage" dataDxfId="121"/>
    <tableColumn id="3" xr3:uid="{51C766D0-CDB3-418B-A6E6-992A436E6A73}" name="Commercialisation" dataDxfId="120"/>
    <tableColumn id="4" xr3:uid="{164C2FD8-7C06-4DD6-B455-757A8539C8B9}" name="Type animaux" dataDxfId="119"/>
    <tableColumn id="5" xr3:uid="{E7069E69-131D-4E84-9CBB-324B2751844C}" name="Nombre" dataDxfId="118"/>
    <tableColumn id="6" xr3:uid="{48131386-3C9E-4292-A8B1-B7220A2C2F38}" name="Poids carcasse" dataDxfId="117"/>
    <tableColumn id="7" xr3:uid="{31B66FDB-6ECB-43BD-9095-EDC8E7E229B9}" name="Montant" dataDxfId="116"/>
    <tableColumn id="8" xr3:uid="{3FC22946-1B99-4DCD-BA15-D4716605581B}" name="Poids moyen" dataDxfId="115">
      <calculatedColumnFormula>IF(F4=0,"",F4/E4)</calculatedColumnFormula>
    </tableColumn>
    <tableColumn id="9" xr3:uid="{B511127B-CCB9-4BAC-B93F-F3896C6A9D4F}" name="Montant/poids" dataDxfId="114">
      <calculatedColumnFormula>IF(F4=0,"",G4/F4)</calculatedColumnFormula>
    </tableColumn>
    <tableColumn id="10" xr3:uid="{8BECE6A2-E2E4-4B6C-9DF2-6049FDF53AD6}" name="Montant individu" dataDxfId="113">
      <calculatedColumnFormula>IF(E4=0,"",G4/E4)</calculatedColumnFormula>
    </tableColumn>
    <tableColumn id="11" xr3:uid="{E039AFB1-6B6C-4AC8-9DC6-6B1F76DE465D}" name="Age moyen" dataDxfId="112"/>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Personnalisé 2">
      <a:dk1>
        <a:sysClr val="windowText" lastClr="000000"/>
      </a:dk1>
      <a:lt1>
        <a:sysClr val="window" lastClr="FFFFFF"/>
      </a:lt1>
      <a:dk2>
        <a:srgbClr val="1F497D"/>
      </a:dk2>
      <a:lt2>
        <a:srgbClr val="EEECE1"/>
      </a:lt2>
      <a:accent1>
        <a:srgbClr val="4F81BD"/>
      </a:accent1>
      <a:accent2>
        <a:srgbClr val="7D2B2B"/>
      </a:accent2>
      <a:accent3>
        <a:srgbClr val="77CD47"/>
      </a:accent3>
      <a:accent4>
        <a:srgbClr val="8064A2"/>
      </a:accent4>
      <a:accent5>
        <a:srgbClr val="4BACC6"/>
      </a:accent5>
      <a:accent6>
        <a:srgbClr val="F79646"/>
      </a:accent6>
      <a:hlink>
        <a:srgbClr val="0000FF"/>
      </a:hlink>
      <a:folHlink>
        <a:srgbClr val="800080"/>
      </a:folHlink>
    </a:clrScheme>
    <a:fontScheme name="Gill Sans MT">
      <a:majorFont>
        <a:latin typeface="Gill Sans MT" panose="020B0502020104020203"/>
        <a:ea typeface=""/>
        <a:cs typeface=""/>
        <a:font script="Grek" typeface="Corbel"/>
        <a:font script="Cyrl" typeface="Corbel"/>
        <a:font script="Jpan" typeface="HGｺﾞｼｯｸE"/>
        <a:font script="Hang" typeface="휴먼매직체"/>
        <a:font script="Hans" typeface="华文中宋"/>
        <a:font script="Hant" typeface="微軟正黑體"/>
        <a:font script="Arab" typeface="Majalla UI"/>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Gill Sans MT" panose="020B0502020104020203"/>
        <a:ea typeface=""/>
        <a:cs typeface=""/>
        <a:font script="Grek" typeface="Corbel"/>
        <a:font script="Cyrl" typeface="Corbel"/>
        <a:font script="Jpan" typeface="HGｺﾞｼｯｸE"/>
        <a:font script="Hang" typeface="휴먼매직체"/>
        <a:font script="Hans" typeface="华文中宋"/>
        <a:font script="Hant" typeface="微軟正黑體"/>
        <a:font script="Arab" typeface="Majalla UI"/>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L37"/>
  <sheetViews>
    <sheetView showGridLines="0" tabSelected="1" topLeftCell="A2" zoomScale="80" zoomScaleNormal="80" workbookViewId="0">
      <selection activeCell="H28" sqref="H28"/>
    </sheetView>
  </sheetViews>
  <sheetFormatPr baseColWidth="10" defaultColWidth="8.77734375" defaultRowHeight="18" x14ac:dyDescent="0.5"/>
  <cols>
    <col min="1" max="1" width="26.44140625" customWidth="1"/>
    <col min="2" max="2" width="28.77734375" customWidth="1"/>
    <col min="3" max="3" width="8.109375" customWidth="1"/>
    <col min="4" max="8" width="17.6640625" customWidth="1"/>
    <col min="9" max="9" width="8.109375" customWidth="1"/>
    <col min="10" max="10" width="37.77734375" customWidth="1"/>
    <col min="11" max="11" width="29.21875" customWidth="1"/>
    <col min="12" max="12" width="17.6640625" customWidth="1"/>
  </cols>
  <sheetData>
    <row r="1" spans="1:12" x14ac:dyDescent="0.5">
      <c r="A1" s="549" t="s">
        <v>0</v>
      </c>
      <c r="B1" s="521"/>
      <c r="D1" s="605" t="s">
        <v>1115</v>
      </c>
      <c r="E1" s="606"/>
      <c r="F1" s="606"/>
      <c r="G1" s="606"/>
      <c r="H1" s="607"/>
      <c r="J1" s="605" t="s">
        <v>1</v>
      </c>
      <c r="K1" s="607"/>
    </row>
    <row r="2" spans="1:12" ht="14.4" customHeight="1" x14ac:dyDescent="0.5">
      <c r="A2" s="522" t="s">
        <v>2</v>
      </c>
      <c r="B2" s="523" t="s">
        <v>3</v>
      </c>
      <c r="D2" s="608"/>
      <c r="E2" s="609"/>
      <c r="F2" s="609"/>
      <c r="G2" s="609"/>
      <c r="H2" s="610"/>
      <c r="J2" s="522" t="s">
        <v>4</v>
      </c>
      <c r="K2" s="545"/>
    </row>
    <row r="3" spans="1:12" x14ac:dyDescent="0.5">
      <c r="A3" s="522" t="s">
        <v>5</v>
      </c>
      <c r="B3" s="524"/>
      <c r="D3" s="608"/>
      <c r="E3" s="609"/>
      <c r="F3" s="609"/>
      <c r="G3" s="609"/>
      <c r="H3" s="610"/>
      <c r="J3" s="522" t="s">
        <v>6</v>
      </c>
      <c r="K3" s="546"/>
    </row>
    <row r="4" spans="1:12" x14ac:dyDescent="0.5">
      <c r="A4" s="522" t="s">
        <v>7</v>
      </c>
      <c r="B4" s="524"/>
      <c r="C4" s="166" t="s">
        <v>8</v>
      </c>
      <c r="D4" s="608"/>
      <c r="E4" s="609"/>
      <c r="F4" s="609"/>
      <c r="G4" s="609"/>
      <c r="H4" s="610"/>
      <c r="J4" s="522" t="s">
        <v>9</v>
      </c>
      <c r="K4" s="545"/>
    </row>
    <row r="5" spans="1:12" x14ac:dyDescent="0.5">
      <c r="A5" s="522" t="s">
        <v>10</v>
      </c>
      <c r="B5" s="524"/>
      <c r="D5" s="608"/>
      <c r="E5" s="609"/>
      <c r="F5" s="609"/>
      <c r="G5" s="609"/>
      <c r="H5" s="610"/>
      <c r="J5" s="522" t="s">
        <v>11</v>
      </c>
      <c r="K5" s="545"/>
    </row>
    <row r="6" spans="1:12" x14ac:dyDescent="0.5">
      <c r="A6" s="522" t="s">
        <v>1117</v>
      </c>
      <c r="B6" s="524"/>
      <c r="D6" s="608"/>
      <c r="E6" s="609"/>
      <c r="F6" s="609"/>
      <c r="G6" s="609"/>
      <c r="H6" s="610"/>
      <c r="J6" s="522" t="s">
        <v>12</v>
      </c>
      <c r="K6" s="546"/>
    </row>
    <row r="7" spans="1:12" x14ac:dyDescent="0.5">
      <c r="A7" s="522" t="s">
        <v>13</v>
      </c>
      <c r="B7" s="524"/>
      <c r="D7" s="608"/>
      <c r="E7" s="609"/>
      <c r="F7" s="609"/>
      <c r="G7" s="609"/>
      <c r="H7" s="610"/>
      <c r="J7" s="522" t="s">
        <v>14</v>
      </c>
      <c r="K7" s="547"/>
      <c r="L7" s="614">
        <f>K8+K7+K9</f>
        <v>0</v>
      </c>
    </row>
    <row r="8" spans="1:12" x14ac:dyDescent="0.5">
      <c r="A8" s="522" t="s">
        <v>15</v>
      </c>
      <c r="B8" s="524"/>
      <c r="D8" s="608"/>
      <c r="E8" s="609"/>
      <c r="F8" s="609"/>
      <c r="G8" s="609"/>
      <c r="H8" s="610"/>
      <c r="J8" s="522" t="s">
        <v>16</v>
      </c>
      <c r="K8" s="547"/>
      <c r="L8" s="615"/>
    </row>
    <row r="9" spans="1:12" x14ac:dyDescent="0.5">
      <c r="A9" s="522" t="s">
        <v>17</v>
      </c>
      <c r="B9" s="524"/>
      <c r="C9" s="20"/>
      <c r="D9" s="608"/>
      <c r="E9" s="609"/>
      <c r="F9" s="609"/>
      <c r="G9" s="609"/>
      <c r="H9" s="610"/>
      <c r="J9" s="522" t="s">
        <v>18</v>
      </c>
      <c r="K9" s="547"/>
      <c r="L9" s="616"/>
    </row>
    <row r="10" spans="1:12" x14ac:dyDescent="0.5">
      <c r="A10" s="522" t="s">
        <v>19</v>
      </c>
      <c r="B10" s="524"/>
      <c r="C10" s="20"/>
      <c r="D10" s="608"/>
      <c r="E10" s="609"/>
      <c r="F10" s="609"/>
      <c r="G10" s="609"/>
      <c r="H10" s="610"/>
      <c r="J10" s="522" t="s">
        <v>20</v>
      </c>
      <c r="K10" s="547"/>
      <c r="L10" s="614">
        <f>K11+K10+K12</f>
        <v>0</v>
      </c>
    </row>
    <row r="11" spans="1:12" ht="15" customHeight="1" x14ac:dyDescent="0.5">
      <c r="A11" s="522" t="s">
        <v>21</v>
      </c>
      <c r="B11" s="524"/>
      <c r="D11" s="608"/>
      <c r="E11" s="609"/>
      <c r="F11" s="609"/>
      <c r="G11" s="609"/>
      <c r="H11" s="610"/>
      <c r="J11" s="522" t="s">
        <v>22</v>
      </c>
      <c r="K11" s="547"/>
      <c r="L11" s="615"/>
    </row>
    <row r="12" spans="1:12" ht="15" customHeight="1" x14ac:dyDescent="0.5">
      <c r="A12" s="522" t="s">
        <v>23</v>
      </c>
      <c r="B12" s="524"/>
      <c r="D12" s="608"/>
      <c r="E12" s="609"/>
      <c r="F12" s="609"/>
      <c r="G12" s="609"/>
      <c r="H12" s="610"/>
      <c r="J12" s="522" t="s">
        <v>24</v>
      </c>
      <c r="K12" s="547"/>
      <c r="L12" s="616"/>
    </row>
    <row r="13" spans="1:12" ht="18.600000000000001" thickBot="1" x14ac:dyDescent="0.55000000000000004">
      <c r="A13" s="525" t="s">
        <v>25</v>
      </c>
      <c r="B13" s="526"/>
      <c r="D13" s="611"/>
      <c r="E13" s="612"/>
      <c r="F13" s="612"/>
      <c r="G13" s="612"/>
      <c r="H13" s="613"/>
      <c r="J13" s="525" t="s">
        <v>26</v>
      </c>
      <c r="K13" s="548"/>
    </row>
    <row r="14" spans="1:12" ht="18.600000000000001" thickBot="1" x14ac:dyDescent="0.55000000000000004"/>
    <row r="15" spans="1:12" ht="18.600000000000001" thickBot="1" x14ac:dyDescent="0.55000000000000004">
      <c r="A15" s="527" t="s">
        <v>27</v>
      </c>
      <c r="B15" s="528">
        <f>B17+B19+B21</f>
        <v>0</v>
      </c>
      <c r="D15" s="602" t="s">
        <v>28</v>
      </c>
      <c r="E15" s="603"/>
      <c r="F15" s="603"/>
      <c r="G15" s="604"/>
    </row>
    <row r="16" spans="1:12" ht="18.600000000000001" thickBot="1" x14ac:dyDescent="0.55000000000000004">
      <c r="A16" s="529" t="s">
        <v>29</v>
      </c>
      <c r="B16" s="530">
        <f>B18+B20+B22</f>
        <v>0</v>
      </c>
      <c r="D16" s="506" t="s">
        <v>30</v>
      </c>
      <c r="E16" s="507">
        <f>E17+E22+E27+E28+E33</f>
        <v>0</v>
      </c>
      <c r="F16" s="508" t="s">
        <v>31</v>
      </c>
      <c r="G16" s="509" t="s">
        <v>32</v>
      </c>
    </row>
    <row r="17" spans="1:11" x14ac:dyDescent="0.5">
      <c r="A17" s="531" t="s">
        <v>33</v>
      </c>
      <c r="B17" s="532"/>
      <c r="D17" s="498" t="s">
        <v>34</v>
      </c>
      <c r="E17" s="499">
        <v>0</v>
      </c>
      <c r="F17" s="499">
        <f>SUM(F18:F21)</f>
        <v>0</v>
      </c>
      <c r="G17" s="500"/>
      <c r="H17" s="601" t="s">
        <v>1118</v>
      </c>
    </row>
    <row r="18" spans="1:11" ht="14.4" customHeight="1" x14ac:dyDescent="0.5">
      <c r="A18" s="529" t="s">
        <v>29</v>
      </c>
      <c r="B18" s="532"/>
      <c r="D18" s="592"/>
      <c r="E18" s="492"/>
      <c r="F18" s="492"/>
      <c r="G18" s="502"/>
      <c r="H18" s="601" t="s">
        <v>1121</v>
      </c>
      <c r="K18" t="s">
        <v>1120</v>
      </c>
    </row>
    <row r="19" spans="1:11" x14ac:dyDescent="0.5">
      <c r="A19" s="531" t="s">
        <v>35</v>
      </c>
      <c r="B19" s="532"/>
      <c r="D19" s="592"/>
      <c r="E19" s="492"/>
      <c r="F19" s="492"/>
      <c r="G19" s="502"/>
    </row>
    <row r="20" spans="1:11" x14ac:dyDescent="0.5">
      <c r="A20" s="529" t="s">
        <v>29</v>
      </c>
      <c r="B20" s="532"/>
      <c r="D20" s="592"/>
      <c r="E20" s="492"/>
      <c r="F20" s="492"/>
      <c r="G20" s="502"/>
    </row>
    <row r="21" spans="1:11" ht="18.600000000000001" thickBot="1" x14ac:dyDescent="0.55000000000000004">
      <c r="A21" s="531" t="s">
        <v>36</v>
      </c>
      <c r="B21" s="532"/>
      <c r="D21" s="593"/>
      <c r="E21" s="504"/>
      <c r="F21" s="504"/>
      <c r="G21" s="505"/>
    </row>
    <row r="22" spans="1:11" ht="18.600000000000001" thickBot="1" x14ac:dyDescent="0.55000000000000004">
      <c r="A22" s="533" t="s">
        <v>29</v>
      </c>
      <c r="B22" s="534"/>
      <c r="D22" s="498" t="s">
        <v>37</v>
      </c>
      <c r="E22" s="499">
        <f>SUM(E23:E26)</f>
        <v>0</v>
      </c>
      <c r="F22" s="499">
        <f>SUM(F23:F26)</f>
        <v>0</v>
      </c>
      <c r="G22" s="500"/>
      <c r="H22" s="601" t="s">
        <v>1119</v>
      </c>
    </row>
    <row r="23" spans="1:11" ht="18.600000000000001" thickBot="1" x14ac:dyDescent="0.55000000000000004">
      <c r="D23" s="594"/>
      <c r="E23" s="492"/>
      <c r="F23" s="492"/>
      <c r="G23" s="502"/>
    </row>
    <row r="24" spans="1:11" x14ac:dyDescent="0.5">
      <c r="A24" s="550" t="s">
        <v>38</v>
      </c>
      <c r="B24" s="535"/>
      <c r="D24" s="594"/>
      <c r="E24" s="492"/>
      <c r="F24" s="492"/>
      <c r="G24" s="502"/>
    </row>
    <row r="25" spans="1:11" x14ac:dyDescent="0.5">
      <c r="A25" s="536" t="s">
        <v>39</v>
      </c>
      <c r="B25" s="537">
        <f>' Elevage'!P3</f>
        <v>0</v>
      </c>
      <c r="D25" s="594"/>
      <c r="E25" s="492"/>
      <c r="F25" s="492"/>
      <c r="G25" s="502"/>
    </row>
    <row r="26" spans="1:11" ht="18.600000000000001" thickBot="1" x14ac:dyDescent="0.55000000000000004">
      <c r="A26" s="536" t="s">
        <v>40</v>
      </c>
      <c r="B26" s="538"/>
      <c r="D26" s="595"/>
      <c r="E26" s="504"/>
      <c r="F26" s="504"/>
      <c r="G26" s="505"/>
    </row>
    <row r="27" spans="1:11" ht="18.600000000000001" thickBot="1" x14ac:dyDescent="0.55000000000000004">
      <c r="A27" s="536" t="s">
        <v>41</v>
      </c>
      <c r="B27" s="537">
        <f>' Elevage'!P5</f>
        <v>0</v>
      </c>
      <c r="D27" s="510" t="s">
        <v>42</v>
      </c>
      <c r="E27" s="511"/>
      <c r="F27" s="511"/>
      <c r="G27" s="512"/>
    </row>
    <row r="28" spans="1:11" x14ac:dyDescent="0.5">
      <c r="A28" s="536" t="s">
        <v>43</v>
      </c>
      <c r="B28" s="538"/>
      <c r="D28" s="498" t="s">
        <v>44</v>
      </c>
      <c r="E28" s="513">
        <f>SUM(E29:F32)</f>
        <v>0</v>
      </c>
      <c r="F28" s="514"/>
      <c r="G28" s="500"/>
    </row>
    <row r="29" spans="1:11" x14ac:dyDescent="0.5">
      <c r="A29" s="536" t="s">
        <v>45</v>
      </c>
      <c r="B29" s="538"/>
      <c r="D29" s="501"/>
      <c r="E29" s="493"/>
      <c r="F29" s="515"/>
      <c r="G29" s="502"/>
    </row>
    <row r="30" spans="1:11" x14ac:dyDescent="0.5">
      <c r="A30" s="536" t="s">
        <v>46</v>
      </c>
      <c r="B30" s="538"/>
      <c r="D30" s="501"/>
      <c r="E30" s="493"/>
      <c r="F30" s="515"/>
      <c r="G30" s="502"/>
    </row>
    <row r="31" spans="1:11" ht="18.600000000000001" thickBot="1" x14ac:dyDescent="0.55000000000000004">
      <c r="A31" s="539" t="s">
        <v>47</v>
      </c>
      <c r="B31" s="540"/>
      <c r="D31" s="501"/>
      <c r="E31" s="493"/>
      <c r="F31" s="515"/>
      <c r="G31" s="502"/>
    </row>
    <row r="32" spans="1:11" ht="18.600000000000001" thickBot="1" x14ac:dyDescent="0.55000000000000004">
      <c r="D32" s="503"/>
      <c r="E32" s="516"/>
      <c r="F32" s="517"/>
      <c r="G32" s="505"/>
    </row>
    <row r="33" spans="1:7" x14ac:dyDescent="0.5">
      <c r="A33" s="551" t="s">
        <v>1116</v>
      </c>
      <c r="B33" s="541"/>
      <c r="D33" s="498" t="s">
        <v>48</v>
      </c>
      <c r="E33" s="518"/>
      <c r="F33" s="514"/>
      <c r="G33" s="500"/>
    </row>
    <row r="34" spans="1:7" ht="18.600000000000001" thickBot="1" x14ac:dyDescent="0.55000000000000004">
      <c r="A34" s="542" t="s">
        <v>49</v>
      </c>
      <c r="B34" s="543"/>
      <c r="D34" s="519" t="s">
        <v>50</v>
      </c>
      <c r="E34" s="516"/>
      <c r="F34" s="517"/>
      <c r="G34" s="520"/>
    </row>
    <row r="35" spans="1:7" x14ac:dyDescent="0.5">
      <c r="A35" s="542" t="s">
        <v>51</v>
      </c>
      <c r="B35" s="543"/>
    </row>
    <row r="36" spans="1:7" x14ac:dyDescent="0.5">
      <c r="A36" s="542" t="s">
        <v>52</v>
      </c>
      <c r="B36" s="543"/>
    </row>
    <row r="37" spans="1:7" ht="18.600000000000001" thickBot="1" x14ac:dyDescent="0.55000000000000004">
      <c r="A37" s="519" t="s">
        <v>53</v>
      </c>
      <c r="B37" s="544"/>
    </row>
  </sheetData>
  <mergeCells count="6">
    <mergeCell ref="D15:G15"/>
    <mergeCell ref="D1:H1"/>
    <mergeCell ref="D2:H13"/>
    <mergeCell ref="J1:K1"/>
    <mergeCell ref="L7:L9"/>
    <mergeCell ref="L10:L12"/>
  </mergeCell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0000000}">
          <x14:formula1>
            <xm:f>Références!$F$1:$F$2</xm:f>
          </x14:formula1>
          <xm:sqref>B13 B34</xm:sqref>
        </x14:dataValidation>
        <x14:dataValidation type="list" allowBlank="1" showInputMessage="1" showErrorMessage="1" xr:uid="{DA41C66F-6C0A-499E-ACBA-CEB628BF14B2}">
          <x14:formula1>
            <xm:f>Références!$S$6:$S$9</xm:f>
          </x14:formula1>
          <xm:sqref>K2</xm:sqref>
        </x14:dataValidation>
        <x14:dataValidation type="list" allowBlank="1" showInputMessage="1" showErrorMessage="1" xr:uid="{692BB8A5-4AEC-4439-93B9-0D92EAF4BA4D}">
          <x14:formula1>
            <xm:f>Références!$S$6:$S$35</xm:f>
          </x14:formula1>
          <xm:sqref>K3</xm:sqref>
        </x14:dataValidation>
        <x14:dataValidation type="list" allowBlank="1" showInputMessage="1" showErrorMessage="1" xr:uid="{3D3D8554-A6B8-44F1-906A-C6DAB70F2442}">
          <x14:formula1>
            <xm:f>Références!$S$36:$S$39</xm:f>
          </x14:formula1>
          <xm:sqref>K4</xm:sqref>
        </x14:dataValidation>
        <x14:dataValidation type="list" allowBlank="1" showInputMessage="1" showErrorMessage="1" xr:uid="{2EEFA4C7-F778-4320-8452-1CA9B4452726}">
          <x14:formula1>
            <xm:f>Références!$S$40:$S$42</xm:f>
          </x14:formula1>
          <xm:sqref>K5</xm:sqref>
        </x14:dataValidation>
        <x14:dataValidation type="list" allowBlank="1" showInputMessage="1" showErrorMessage="1" xr:uid="{00000000-0002-0000-0000-000001000000}">
          <x14:formula1>
            <xm:f>Références!$G$2:$G$12</xm:f>
          </x14:formula1>
          <xm:sqref>B12</xm:sqref>
        </x14:dataValidation>
        <x14:dataValidation type="list" allowBlank="1" showInputMessage="1" showErrorMessage="1" xr:uid="{2D621067-B9BE-4AF0-91E3-0F064F3DF66B}">
          <x14:formula1>
            <xm:f>Références!$H$12:$H$15</xm:f>
          </x14:formula1>
          <xm:sqref>B29</xm:sqref>
        </x14:dataValidation>
        <x14:dataValidation type="list" allowBlank="1" showInputMessage="1" showErrorMessage="1" xr:uid="{DC7745FD-8677-42C9-A918-7CEE1BE4E93C}">
          <x14:formula1>
            <xm:f>Références!$H$2:$H$8</xm:f>
          </x14:formula1>
          <xm:sqref>B30</xm:sqref>
        </x14:dataValidation>
        <x14:dataValidation type="list" allowBlank="1" showInputMessage="1" showErrorMessage="1" xr:uid="{84502F54-01BB-40F2-8228-3218F17B61C6}">
          <x14:formula1>
            <xm:f>Références!$I$2:$I$9</xm:f>
          </x14:formula1>
          <xm:sqref>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B1:U20"/>
  <sheetViews>
    <sheetView showGridLines="0" zoomScale="60" zoomScaleNormal="60" workbookViewId="0">
      <selection activeCell="J16" sqref="J16"/>
    </sheetView>
  </sheetViews>
  <sheetFormatPr baseColWidth="10" defaultColWidth="11" defaultRowHeight="18" x14ac:dyDescent="0.5"/>
  <cols>
    <col min="2" max="2" width="17.44140625" customWidth="1"/>
    <col min="18" max="18" width="14.44140625" customWidth="1"/>
    <col min="21" max="21" width="12.77734375" bestFit="1" customWidth="1"/>
  </cols>
  <sheetData>
    <row r="1" spans="2:21" ht="16.2" customHeight="1" thickBot="1" x14ac:dyDescent="0.55000000000000004">
      <c r="N1" s="23"/>
      <c r="O1" s="23"/>
      <c r="P1" s="23"/>
    </row>
    <row r="2" spans="2:21" ht="35.4" customHeight="1" thickBot="1" x14ac:dyDescent="0.55000000000000004">
      <c r="C2" s="33" t="s">
        <v>54</v>
      </c>
      <c r="D2" s="34" t="s">
        <v>55</v>
      </c>
      <c r="E2" s="34" t="s">
        <v>56</v>
      </c>
      <c r="F2" s="34" t="s">
        <v>57</v>
      </c>
      <c r="G2" s="34" t="s">
        <v>58</v>
      </c>
      <c r="H2" s="34" t="s">
        <v>59</v>
      </c>
      <c r="I2" s="34" t="s">
        <v>60</v>
      </c>
      <c r="J2" s="34" t="s">
        <v>61</v>
      </c>
      <c r="K2" s="34" t="s">
        <v>62</v>
      </c>
      <c r="L2" s="34" t="s">
        <v>63</v>
      </c>
      <c r="M2" s="34" t="s">
        <v>64</v>
      </c>
      <c r="N2" s="34" t="s">
        <v>65</v>
      </c>
      <c r="O2" s="35" t="s">
        <v>54</v>
      </c>
      <c r="P2" s="36" t="s">
        <v>66</v>
      </c>
      <c r="Q2" s="72"/>
      <c r="S2" s="638" t="s">
        <v>67</v>
      </c>
      <c r="T2" s="638"/>
      <c r="U2" s="48"/>
    </row>
    <row r="3" spans="2:21" ht="30" customHeight="1" x14ac:dyDescent="0.5">
      <c r="B3" s="28" t="s">
        <v>39</v>
      </c>
      <c r="C3" s="154"/>
      <c r="D3" s="155">
        <f>C3+C5+C6-C7-C9</f>
        <v>0</v>
      </c>
      <c r="E3" s="155">
        <f t="shared" ref="E3:O3" si="0">D3+D4+D5+D6-D7-D9</f>
        <v>0</v>
      </c>
      <c r="F3" s="155">
        <f t="shared" si="0"/>
        <v>0</v>
      </c>
      <c r="G3" s="155">
        <f t="shared" si="0"/>
        <v>0</v>
      </c>
      <c r="H3" s="155">
        <f t="shared" si="0"/>
        <v>0</v>
      </c>
      <c r="I3" s="155">
        <f t="shared" si="0"/>
        <v>0</v>
      </c>
      <c r="J3" s="155">
        <f t="shared" si="0"/>
        <v>0</v>
      </c>
      <c r="K3" s="155">
        <f t="shared" si="0"/>
        <v>0</v>
      </c>
      <c r="L3" s="155">
        <f t="shared" si="0"/>
        <v>0</v>
      </c>
      <c r="M3" s="155">
        <f t="shared" si="0"/>
        <v>0</v>
      </c>
      <c r="N3" s="155">
        <f t="shared" si="0"/>
        <v>0</v>
      </c>
      <c r="O3" s="155">
        <f t="shared" si="0"/>
        <v>0</v>
      </c>
      <c r="P3" s="626">
        <f>AVERAGE(C3:N3)</f>
        <v>0</v>
      </c>
      <c r="Q3" s="624" t="s">
        <v>68</v>
      </c>
      <c r="S3" s="638" t="s">
        <v>69</v>
      </c>
      <c r="T3" s="638"/>
      <c r="U3" s="52">
        <f>P5-'Charges ovin'!C30-'Charges ovin'!C32</f>
        <v>0</v>
      </c>
    </row>
    <row r="4" spans="2:21" ht="20.399999999999999" customHeight="1" thickBot="1" x14ac:dyDescent="0.55000000000000004">
      <c r="B4" s="29" t="s">
        <v>70</v>
      </c>
      <c r="C4" s="167"/>
      <c r="D4" s="156"/>
      <c r="E4" s="156"/>
      <c r="F4" s="157"/>
      <c r="G4" s="157"/>
      <c r="H4" s="156"/>
      <c r="I4" s="156"/>
      <c r="J4" s="157"/>
      <c r="K4" s="156"/>
      <c r="L4" s="157"/>
      <c r="M4" s="157"/>
      <c r="N4" s="157"/>
      <c r="O4" s="168"/>
      <c r="P4" s="627"/>
      <c r="Q4" s="625"/>
      <c r="S4" s="638" t="s">
        <v>71</v>
      </c>
      <c r="T4" s="638"/>
      <c r="U4" s="49">
        <f>P9-Calcule!I39-Calcule!I42</f>
        <v>0</v>
      </c>
    </row>
    <row r="5" spans="2:21" ht="30" customHeight="1" x14ac:dyDescent="0.5">
      <c r="B5" s="30" t="s">
        <v>72</v>
      </c>
      <c r="C5" s="158"/>
      <c r="D5" s="159"/>
      <c r="E5" s="159"/>
      <c r="F5" s="159"/>
      <c r="G5" s="159"/>
      <c r="H5" s="159"/>
      <c r="I5" s="159"/>
      <c r="J5" s="159"/>
      <c r="K5" s="159"/>
      <c r="L5" s="159"/>
      <c r="M5" s="159"/>
      <c r="N5" s="159"/>
      <c r="O5" s="160"/>
      <c r="P5" s="172">
        <f>SUM(C5:O5)</f>
        <v>0</v>
      </c>
      <c r="S5" s="638" t="s">
        <v>73</v>
      </c>
      <c r="T5" s="638"/>
      <c r="U5" s="52">
        <f>R12+P6-K12-K20</f>
        <v>0</v>
      </c>
    </row>
    <row r="6" spans="2:21" ht="30" customHeight="1" x14ac:dyDescent="0.5">
      <c r="B6" s="37" t="s">
        <v>74</v>
      </c>
      <c r="C6" s="158"/>
      <c r="D6" s="159"/>
      <c r="E6" s="159"/>
      <c r="F6" s="159"/>
      <c r="G6" s="159"/>
      <c r="H6" s="159"/>
      <c r="I6" s="159"/>
      <c r="J6" s="159"/>
      <c r="K6" s="159"/>
      <c r="L6" s="159"/>
      <c r="M6" s="159"/>
      <c r="N6" s="159"/>
      <c r="O6" s="160"/>
      <c r="P6" s="172">
        <f>SUM(C6:O6)</f>
        <v>0</v>
      </c>
      <c r="S6" s="638" t="s">
        <v>75</v>
      </c>
      <c r="T6" s="638"/>
      <c r="U6" s="50" t="str">
        <f>IF(C3=0,"",E20/C3)</f>
        <v/>
      </c>
    </row>
    <row r="7" spans="2:21" ht="30" customHeight="1" x14ac:dyDescent="0.5">
      <c r="B7" s="31" t="s">
        <v>76</v>
      </c>
      <c r="C7" s="169"/>
      <c r="D7" s="156"/>
      <c r="E7" s="170"/>
      <c r="F7" s="170"/>
      <c r="G7" s="170"/>
      <c r="H7" s="156"/>
      <c r="I7" s="156"/>
      <c r="J7" s="156"/>
      <c r="K7" s="156"/>
      <c r="L7" s="156"/>
      <c r="M7" s="156"/>
      <c r="N7" s="156"/>
      <c r="O7" s="161"/>
      <c r="P7" s="628">
        <f>SUM(C7:O7)</f>
        <v>0</v>
      </c>
      <c r="S7" s="638" t="s">
        <v>77</v>
      </c>
      <c r="T7" s="638"/>
      <c r="U7" s="53" t="str">
        <f>IF(G20=0,"",H20/G20)</f>
        <v/>
      </c>
    </row>
    <row r="8" spans="2:21" ht="30" customHeight="1" x14ac:dyDescent="0.5">
      <c r="B8" s="30" t="s">
        <v>78</v>
      </c>
      <c r="C8" s="167"/>
      <c r="D8" s="171"/>
      <c r="E8" s="171"/>
      <c r="F8" s="171"/>
      <c r="G8" s="171"/>
      <c r="H8" s="171"/>
      <c r="I8" s="171"/>
      <c r="J8" s="171"/>
      <c r="K8" s="171"/>
      <c r="L8" s="171"/>
      <c r="M8" s="171"/>
      <c r="N8" s="171"/>
      <c r="O8" s="168"/>
      <c r="P8" s="629"/>
      <c r="S8" s="638" t="s">
        <v>79</v>
      </c>
      <c r="T8" s="638"/>
      <c r="U8" s="51" t="str">
        <f>IF(F20=0,"",G20/F20)</f>
        <v/>
      </c>
    </row>
    <row r="9" spans="2:21" ht="30" customHeight="1" thickBot="1" x14ac:dyDescent="0.55000000000000004">
      <c r="B9" s="32" t="s">
        <v>80</v>
      </c>
      <c r="C9" s="162"/>
      <c r="D9" s="152"/>
      <c r="E9" s="152"/>
      <c r="F9" s="152"/>
      <c r="G9" s="152"/>
      <c r="H9" s="152"/>
      <c r="I9" s="152"/>
      <c r="J9" s="152"/>
      <c r="K9" s="152"/>
      <c r="L9" s="152"/>
      <c r="M9" s="152"/>
      <c r="N9" s="152"/>
      <c r="O9" s="163"/>
      <c r="P9" s="173">
        <f>SUM(C9:O9)</f>
        <v>0</v>
      </c>
    </row>
    <row r="10" spans="2:21" ht="30" customHeight="1" thickBot="1" x14ac:dyDescent="0.55000000000000004"/>
    <row r="11" spans="2:21" ht="30" customHeight="1" thickBot="1" x14ac:dyDescent="0.55000000000000004">
      <c r="C11" s="630" t="s">
        <v>81</v>
      </c>
      <c r="D11" s="631"/>
      <c r="E11" s="630" t="s">
        <v>82</v>
      </c>
      <c r="F11" s="632"/>
      <c r="G11" s="631"/>
      <c r="H11" s="177" t="s">
        <v>83</v>
      </c>
      <c r="I11" s="634" t="s">
        <v>84</v>
      </c>
      <c r="J11" s="635"/>
      <c r="K11" s="177" t="s">
        <v>85</v>
      </c>
      <c r="L11" s="177" t="s">
        <v>86</v>
      </c>
      <c r="M11" s="177" t="s">
        <v>87</v>
      </c>
      <c r="P11" s="33" t="s">
        <v>82</v>
      </c>
      <c r="Q11" s="33" t="s">
        <v>88</v>
      </c>
      <c r="R11" s="33" t="s">
        <v>89</v>
      </c>
      <c r="S11" s="33" t="s">
        <v>90</v>
      </c>
      <c r="T11" s="33" t="s">
        <v>91</v>
      </c>
      <c r="U11" s="33" t="s">
        <v>92</v>
      </c>
    </row>
    <row r="12" spans="2:21" ht="30" customHeight="1" thickBot="1" x14ac:dyDescent="0.55000000000000004">
      <c r="B12" s="33" t="s">
        <v>93</v>
      </c>
      <c r="C12" s="39"/>
      <c r="D12" s="39"/>
      <c r="E12" s="633"/>
      <c r="F12" s="633"/>
      <c r="G12" s="633"/>
      <c r="H12" s="27">
        <f>E12-L12-K12-M12-I12</f>
        <v>0</v>
      </c>
      <c r="I12" s="636">
        <f>Calcule!U14+Calcule!U15</f>
        <v>0</v>
      </c>
      <c r="J12" s="637"/>
      <c r="K12" s="148"/>
      <c r="L12" s="27">
        <f>Calcule!U13</f>
        <v>0</v>
      </c>
      <c r="M12" s="178"/>
      <c r="N12" s="179" t="e">
        <f>AVERAGE(C12,D12)</f>
        <v>#DIV/0!</v>
      </c>
      <c r="O12" s="33" t="s">
        <v>94</v>
      </c>
      <c r="P12" s="150"/>
      <c r="Q12" s="151">
        <f>'Charges ovin'!C34</f>
        <v>0</v>
      </c>
      <c r="R12" s="152"/>
      <c r="S12" s="151">
        <f>Calcule!I33+Calcule!I36</f>
        <v>0</v>
      </c>
      <c r="T12" s="152"/>
      <c r="U12" s="153">
        <f>P12+Q12+R12-S12-T12</f>
        <v>0</v>
      </c>
    </row>
    <row r="13" spans="2:21" ht="30" customHeight="1" thickBot="1" x14ac:dyDescent="0.55000000000000004"/>
    <row r="14" spans="2:21" ht="30" customHeight="1" x14ac:dyDescent="0.5">
      <c r="C14" s="621" t="s">
        <v>95</v>
      </c>
      <c r="D14" s="622"/>
      <c r="E14" s="622"/>
      <c r="F14" s="622"/>
      <c r="G14" s="622"/>
      <c r="H14" s="622"/>
      <c r="I14" s="622"/>
      <c r="J14" s="622"/>
      <c r="K14" s="622"/>
      <c r="L14" s="622"/>
      <c r="M14" s="623"/>
    </row>
    <row r="15" spans="2:21" ht="30" customHeight="1" thickBot="1" x14ac:dyDescent="0.55000000000000004">
      <c r="C15" s="617" t="s">
        <v>81</v>
      </c>
      <c r="D15" s="618"/>
      <c r="E15" s="40" t="s">
        <v>96</v>
      </c>
      <c r="F15" s="41" t="s">
        <v>97</v>
      </c>
      <c r="G15" s="41" t="s">
        <v>98</v>
      </c>
      <c r="H15" s="41" t="s">
        <v>99</v>
      </c>
      <c r="I15" s="42" t="s">
        <v>100</v>
      </c>
      <c r="J15" s="41" t="s">
        <v>84</v>
      </c>
      <c r="K15" s="41" t="s">
        <v>101</v>
      </c>
      <c r="L15" s="41" t="s">
        <v>102</v>
      </c>
      <c r="M15" s="43" t="s">
        <v>87</v>
      </c>
    </row>
    <row r="16" spans="2:21" ht="30" customHeight="1" thickBot="1" x14ac:dyDescent="0.55000000000000004">
      <c r="B16" s="33" t="s">
        <v>103</v>
      </c>
      <c r="C16" s="39"/>
      <c r="D16" s="39"/>
      <c r="E16" s="148"/>
      <c r="F16" s="148"/>
      <c r="G16" s="148"/>
      <c r="H16" s="27">
        <f>G16-I16</f>
        <v>0</v>
      </c>
      <c r="I16" s="27">
        <f>SUM(J16:M16)</f>
        <v>0</v>
      </c>
      <c r="J16" s="27">
        <f>Calcule!Q14+Calcule!Q15</f>
        <v>0</v>
      </c>
      <c r="K16" s="148"/>
      <c r="L16" s="27">
        <f>Calcule!Q13</f>
        <v>0</v>
      </c>
      <c r="M16" s="149"/>
      <c r="N16" s="176" t="e">
        <f>AVERAGE(C16,D16)</f>
        <v>#DIV/0!</v>
      </c>
      <c r="T16" s="72"/>
    </row>
    <row r="17" spans="2:14" ht="30" customHeight="1" thickBot="1" x14ac:dyDescent="0.55000000000000004">
      <c r="B17" s="33" t="s">
        <v>104</v>
      </c>
      <c r="C17" s="39"/>
      <c r="D17" s="39"/>
      <c r="E17" s="148"/>
      <c r="F17" s="148"/>
      <c r="G17" s="148"/>
      <c r="H17" s="27">
        <f>G17-I17</f>
        <v>0</v>
      </c>
      <c r="I17" s="27">
        <f>SUM(J17:M17)</f>
        <v>0</v>
      </c>
      <c r="J17" s="27">
        <f>Calcule!R14+Calcule!R15</f>
        <v>0</v>
      </c>
      <c r="K17" s="148"/>
      <c r="L17" s="27">
        <f>Calcule!R13</f>
        <v>0</v>
      </c>
      <c r="M17" s="149"/>
      <c r="N17" s="176" t="e">
        <f>AVERAGE(C17,D17)</f>
        <v>#DIV/0!</v>
      </c>
    </row>
    <row r="18" spans="2:14" ht="30" customHeight="1" thickBot="1" x14ac:dyDescent="0.55000000000000004">
      <c r="B18" s="33" t="s">
        <v>105</v>
      </c>
      <c r="C18" s="39"/>
      <c r="D18" s="39"/>
      <c r="E18" s="148"/>
      <c r="F18" s="148"/>
      <c r="G18" s="148"/>
      <c r="H18" s="27">
        <f>G18-I18</f>
        <v>0</v>
      </c>
      <c r="I18" s="27">
        <f>SUM(J18:M18)</f>
        <v>0</v>
      </c>
      <c r="J18" s="27">
        <f>Calcule!S14+Calcule!S15</f>
        <v>0</v>
      </c>
      <c r="K18" s="148"/>
      <c r="L18" s="27">
        <f>Calcule!S13</f>
        <v>0</v>
      </c>
      <c r="M18" s="149"/>
      <c r="N18" s="176" t="e">
        <f>AVERAGE(C18,D18)</f>
        <v>#DIV/0!</v>
      </c>
    </row>
    <row r="19" spans="2:14" ht="30" customHeight="1" thickBot="1" x14ac:dyDescent="0.55000000000000004">
      <c r="B19" s="33" t="s">
        <v>106</v>
      </c>
      <c r="C19" s="39"/>
      <c r="D19" s="39"/>
      <c r="E19" s="148"/>
      <c r="F19" s="148"/>
      <c r="G19" s="148"/>
      <c r="H19" s="27">
        <f>G19-I19</f>
        <v>0</v>
      </c>
      <c r="I19" s="27">
        <f>SUM(J19:M19)</f>
        <v>0</v>
      </c>
      <c r="J19" s="27">
        <f>Calcule!T14+Calcule!T15</f>
        <v>0</v>
      </c>
      <c r="K19" s="148"/>
      <c r="L19" s="27">
        <f>Calcule!T13</f>
        <v>0</v>
      </c>
      <c r="M19" s="149"/>
      <c r="N19" s="176" t="e">
        <f>AVERAGE(C19,D19)</f>
        <v>#DIV/0!</v>
      </c>
    </row>
    <row r="20" spans="2:14" ht="43.95" customHeight="1" thickBot="1" x14ac:dyDescent="0.55000000000000004">
      <c r="B20" s="619" t="s">
        <v>66</v>
      </c>
      <c r="C20" s="620"/>
      <c r="D20" s="620"/>
      <c r="E20" s="174">
        <f t="shared" ref="E20:M20" si="1">SUM(E16:E19)</f>
        <v>0</v>
      </c>
      <c r="F20" s="174">
        <f t="shared" si="1"/>
        <v>0</v>
      </c>
      <c r="G20" s="174">
        <f t="shared" si="1"/>
        <v>0</v>
      </c>
      <c r="H20" s="174">
        <f t="shared" si="1"/>
        <v>0</v>
      </c>
      <c r="I20" s="174">
        <f>SUM(I16:I19)</f>
        <v>0</v>
      </c>
      <c r="J20" s="174">
        <f>SUM(J16:J19)</f>
        <v>0</v>
      </c>
      <c r="K20" s="174">
        <f t="shared" si="1"/>
        <v>0</v>
      </c>
      <c r="L20" s="174">
        <f t="shared" si="1"/>
        <v>0</v>
      </c>
      <c r="M20" s="175">
        <f t="shared" si="1"/>
        <v>0</v>
      </c>
    </row>
  </sheetData>
  <mergeCells count="18">
    <mergeCell ref="S7:T7"/>
    <mergeCell ref="S8:T8"/>
    <mergeCell ref="S2:T2"/>
    <mergeCell ref="S3:T3"/>
    <mergeCell ref="S4:T4"/>
    <mergeCell ref="S5:T5"/>
    <mergeCell ref="S6:T6"/>
    <mergeCell ref="C15:D15"/>
    <mergeCell ref="B20:D20"/>
    <mergeCell ref="C14:M14"/>
    <mergeCell ref="Q3:Q4"/>
    <mergeCell ref="P3:P4"/>
    <mergeCell ref="P7:P8"/>
    <mergeCell ref="C11:D11"/>
    <mergeCell ref="E11:G11"/>
    <mergeCell ref="E12:G12"/>
    <mergeCell ref="I11:J11"/>
    <mergeCell ref="I12:J12"/>
  </mergeCells>
  <conditionalFormatting sqref="U3:U5">
    <cfRule type="cellIs" dxfId="0" priority="1" operator="notEqual">
      <formula>0</formula>
    </cfRule>
  </conditionalFormatting>
  <pageMargins left="0.7" right="0.7" top="0.75" bottom="0.75" header="0.3" footer="0.3"/>
  <pageSetup paperSize="9" orientation="portrait" r:id="rId1"/>
  <ignoredErrors>
    <ignoredError sqref="N16 N18"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X444"/>
  <sheetViews>
    <sheetView showGridLines="0" zoomScale="84" zoomScaleNormal="84" workbookViewId="0">
      <selection activeCell="F9" sqref="F9"/>
    </sheetView>
  </sheetViews>
  <sheetFormatPr baseColWidth="10" defaultColWidth="11" defaultRowHeight="18" x14ac:dyDescent="0.5"/>
  <cols>
    <col min="3" max="3" width="20.44140625" customWidth="1"/>
    <col min="4" max="4" width="24.109375" customWidth="1"/>
    <col min="5" max="5" width="11.21875" customWidth="1"/>
    <col min="6" max="6" width="16.21875" customWidth="1"/>
    <col min="8" max="8" width="14.77734375" customWidth="1"/>
    <col min="9" max="9" width="16.21875" customWidth="1"/>
    <col min="10" max="10" width="18.77734375" customWidth="1"/>
    <col min="11" max="11" width="13.44140625" customWidth="1"/>
    <col min="13" max="13" width="19.44140625" customWidth="1"/>
    <col min="14" max="14" width="22.77734375" bestFit="1" customWidth="1"/>
    <col min="15" max="15" width="26" bestFit="1" customWidth="1"/>
    <col min="16" max="16" width="11.44140625" customWidth="1"/>
    <col min="17" max="17" width="14" bestFit="1" customWidth="1"/>
    <col min="38" max="38" width="22.33203125" bestFit="1" customWidth="1"/>
    <col min="39" max="39" width="26.44140625" bestFit="1" customWidth="1"/>
  </cols>
  <sheetData>
    <row r="1" spans="1:24" ht="18.600000000000001" thickBot="1" x14ac:dyDescent="0.55000000000000004"/>
    <row r="2" spans="1:24" ht="18.600000000000001" thickBot="1" x14ac:dyDescent="0.55000000000000004">
      <c r="A2" s="643" t="s">
        <v>107</v>
      </c>
      <c r="B2" s="644"/>
      <c r="C2" s="644"/>
      <c r="D2" s="644"/>
      <c r="E2" s="644"/>
      <c r="F2" s="644"/>
      <c r="G2" s="644"/>
      <c r="H2" s="644"/>
      <c r="I2" s="644"/>
      <c r="J2" s="644"/>
      <c r="K2" s="645"/>
      <c r="M2" s="649" t="s">
        <v>108</v>
      </c>
      <c r="N2" s="650"/>
      <c r="O2" s="60"/>
    </row>
    <row r="3" spans="1:24" ht="18.600000000000001" thickBot="1" x14ac:dyDescent="0.55000000000000004">
      <c r="A3" s="46" t="s">
        <v>109</v>
      </c>
      <c r="B3" s="45" t="s">
        <v>110</v>
      </c>
      <c r="C3" s="45" t="s">
        <v>111</v>
      </c>
      <c r="D3" s="45" t="s">
        <v>112</v>
      </c>
      <c r="E3" s="45" t="s">
        <v>113</v>
      </c>
      <c r="F3" s="45" t="s">
        <v>114</v>
      </c>
      <c r="G3" s="45" t="s">
        <v>115</v>
      </c>
      <c r="H3" s="45" t="s">
        <v>116</v>
      </c>
      <c r="I3" s="45" t="s">
        <v>117</v>
      </c>
      <c r="J3" s="45" t="s">
        <v>118</v>
      </c>
      <c r="K3" s="47" t="s">
        <v>119</v>
      </c>
      <c r="M3" s="8" t="s">
        <v>120</v>
      </c>
      <c r="N3" s="9" t="s">
        <v>115</v>
      </c>
      <c r="O3" s="10">
        <f>Calcule!I47</f>
        <v>0</v>
      </c>
    </row>
    <row r="4" spans="1:24" x14ac:dyDescent="0.5">
      <c r="A4" s="278"/>
      <c r="B4" s="279"/>
      <c r="C4" s="279"/>
      <c r="D4" s="279"/>
      <c r="E4" s="279"/>
      <c r="F4" s="279"/>
      <c r="G4" s="279"/>
      <c r="H4" s="25" t="str">
        <f t="shared" ref="H4:H7" si="0">IF(F4=0,"",F4/E4)</f>
        <v/>
      </c>
      <c r="I4" s="25" t="str">
        <f t="shared" ref="I4:I7" si="1">IF(F4=0,"",G4/F4)</f>
        <v/>
      </c>
      <c r="J4" s="26" t="str">
        <f t="shared" ref="J4:J7" si="2">IF(E4=0,"",G4/E4)</f>
        <v/>
      </c>
      <c r="K4" s="252" t="str">
        <f>IF(B4="Printemps",_xlfn.DAYS(A4,' Elevage'!N$17),IF(B4="Eté",_xlfn.DAYS(A4,' Elevage'!N$18),IF(B4="Automne",_xlfn.DAYS(A4,' Elevage'!N$19),IF(B4="Hiver",_xlfn.DAYS(A4,' Elevage'!N$16),IF(B4="Stock",_xlfn.DAYS(A4,' Elevage'!N$12),"")))))</f>
        <v/>
      </c>
      <c r="M4" s="646" t="s">
        <v>121</v>
      </c>
      <c r="N4" s="5" t="s">
        <v>115</v>
      </c>
      <c r="O4" s="6">
        <f t="shared" ref="O4:O9" si="3">SUM(P4:X4)</f>
        <v>0</v>
      </c>
      <c r="P4" s="82"/>
      <c r="Q4" s="83"/>
      <c r="R4" s="83"/>
      <c r="S4" s="83"/>
      <c r="T4" s="83"/>
      <c r="U4" s="83"/>
      <c r="V4" s="83"/>
      <c r="W4" s="83"/>
      <c r="X4" s="83"/>
    </row>
    <row r="5" spans="1:24" ht="18.600000000000001" thickBot="1" x14ac:dyDescent="0.55000000000000004">
      <c r="A5" s="280"/>
      <c r="B5" s="279"/>
      <c r="C5" s="279"/>
      <c r="D5" s="279"/>
      <c r="E5" s="279"/>
      <c r="F5" s="281"/>
      <c r="G5" s="281"/>
      <c r="H5" s="25" t="str">
        <f t="shared" si="0"/>
        <v/>
      </c>
      <c r="I5" s="25" t="str">
        <f t="shared" si="1"/>
        <v/>
      </c>
      <c r="J5" s="26" t="str">
        <f t="shared" si="2"/>
        <v/>
      </c>
      <c r="K5" s="252" t="str">
        <f>IF(B5="Printemps",_xlfn.DAYS(A5,' Elevage'!N$17),IF(B5="Eté",_xlfn.DAYS(A5,' Elevage'!N$18),IF(B5="Automne",_xlfn.DAYS(A5,' Elevage'!N$19),IF(B5="Hiver",_xlfn.DAYS(A5,' Elevage'!N$16),IF(B5="Stock",_xlfn.DAYS(A5,' Elevage'!N$12),"")))))</f>
        <v/>
      </c>
      <c r="M5" s="647"/>
      <c r="N5" s="7" t="s">
        <v>122</v>
      </c>
      <c r="O5" s="110">
        <f t="shared" si="3"/>
        <v>0</v>
      </c>
      <c r="P5" s="88"/>
      <c r="Q5" s="89"/>
      <c r="R5" s="89"/>
      <c r="S5" s="89"/>
      <c r="T5" s="89"/>
      <c r="U5" s="89"/>
      <c r="V5" s="89"/>
      <c r="W5" s="89"/>
      <c r="X5" s="89"/>
    </row>
    <row r="6" spans="1:24" x14ac:dyDescent="0.5">
      <c r="A6" s="280"/>
      <c r="B6" s="279"/>
      <c r="C6" s="279"/>
      <c r="D6" s="279"/>
      <c r="E6" s="279"/>
      <c r="F6" s="281"/>
      <c r="G6" s="281"/>
      <c r="H6" s="25" t="str">
        <f t="shared" si="0"/>
        <v/>
      </c>
      <c r="I6" s="25" t="str">
        <f t="shared" si="1"/>
        <v/>
      </c>
      <c r="J6" s="26" t="str">
        <f t="shared" si="2"/>
        <v/>
      </c>
      <c r="K6" s="252" t="str">
        <f>IF(B6="Printemps",_xlfn.DAYS(A6,' Elevage'!N$17),IF(B6="Eté",_xlfn.DAYS(A6,' Elevage'!N$18),IF(B6="Automne",_xlfn.DAYS(A6,' Elevage'!N$19),IF(B6="Hiver",_xlfn.DAYS(A6,' Elevage'!N$16),IF(B6="Stock",_xlfn.DAYS(A6,' Elevage'!N$12),"")))))</f>
        <v/>
      </c>
      <c r="M6" s="646" t="s">
        <v>123</v>
      </c>
      <c r="N6" s="5" t="s">
        <v>115</v>
      </c>
      <c r="O6" s="6">
        <f t="shared" si="3"/>
        <v>0</v>
      </c>
      <c r="P6" s="82"/>
      <c r="Q6" s="83"/>
      <c r="R6" s="83"/>
      <c r="S6" s="83"/>
      <c r="T6" s="83"/>
      <c r="U6" s="83"/>
      <c r="V6" s="83"/>
      <c r="W6" s="83"/>
      <c r="X6" s="83"/>
    </row>
    <row r="7" spans="1:24" ht="18.600000000000001" thickBot="1" x14ac:dyDescent="0.55000000000000004">
      <c r="A7" s="280"/>
      <c r="B7" s="279"/>
      <c r="C7" s="279"/>
      <c r="D7" s="279"/>
      <c r="E7" s="279"/>
      <c r="F7" s="281"/>
      <c r="G7" s="281"/>
      <c r="H7" s="25" t="str">
        <f t="shared" si="0"/>
        <v/>
      </c>
      <c r="I7" s="25" t="str">
        <f t="shared" si="1"/>
        <v/>
      </c>
      <c r="J7" s="26" t="str">
        <f t="shared" si="2"/>
        <v/>
      </c>
      <c r="K7" s="252" t="str">
        <f>IF(B7="Printemps",_xlfn.DAYS(A7,' Elevage'!N$17),IF(B7="Eté",_xlfn.DAYS(A7,' Elevage'!N$18),IF(B7="Automne",_xlfn.DAYS(A7,' Elevage'!N$19),IF(B7="Hiver",_xlfn.DAYS(A7,' Elevage'!N$16),IF(B7="Stock",_xlfn.DAYS(A7,' Elevage'!N$12),"")))))</f>
        <v/>
      </c>
      <c r="M7" s="648"/>
      <c r="N7" s="382" t="s">
        <v>122</v>
      </c>
      <c r="O7" s="381">
        <f t="shared" si="3"/>
        <v>0</v>
      </c>
      <c r="P7" s="88"/>
      <c r="Q7" s="89"/>
      <c r="R7" s="89"/>
      <c r="S7" s="89"/>
      <c r="T7" s="89"/>
      <c r="U7" s="89"/>
      <c r="V7" s="89"/>
      <c r="W7" s="89"/>
      <c r="X7" s="89"/>
    </row>
    <row r="8" spans="1:24" ht="18.600000000000001" thickBot="1" x14ac:dyDescent="0.55000000000000004">
      <c r="A8" s="280"/>
      <c r="B8" s="279"/>
      <c r="C8" s="279"/>
      <c r="D8" s="279"/>
      <c r="E8" s="279"/>
      <c r="F8" s="281"/>
      <c r="G8" s="281"/>
      <c r="H8" s="25" t="str">
        <f t="shared" ref="H8:H71" si="4">IF(F8=0,"",F8/E8)</f>
        <v/>
      </c>
      <c r="I8" s="25" t="str">
        <f t="shared" ref="I8:I71" si="5">IF(F8=0,"",G8/F8)</f>
        <v/>
      </c>
      <c r="J8" s="26" t="str">
        <f t="shared" ref="J8:J71" si="6">IF(E8=0,"",G8/E8)</f>
        <v/>
      </c>
      <c r="K8" s="252" t="str">
        <f>IF(B8="Printemps",_xlfn.DAYS(A8,' Elevage'!N$17),IF(B8="Eté",_xlfn.DAYS(A8,' Elevage'!N$18),IF(B8="Automne",_xlfn.DAYS(A8,' Elevage'!N$19),IF(B8="Hiver",_xlfn.DAYS(A8,' Elevage'!N$16),IF(B8="Stock",_xlfn.DAYS(A8,' Elevage'!N$12),"")))))</f>
        <v/>
      </c>
      <c r="M8" s="8" t="s">
        <v>124</v>
      </c>
      <c r="N8" s="9" t="s">
        <v>115</v>
      </c>
      <c r="O8" s="10">
        <f t="shared" si="3"/>
        <v>0</v>
      </c>
      <c r="P8" s="91"/>
      <c r="Q8" s="92"/>
      <c r="R8" s="92"/>
      <c r="S8" s="92"/>
      <c r="T8" s="92"/>
      <c r="U8" s="92"/>
      <c r="V8" s="92"/>
      <c r="W8" s="92"/>
      <c r="X8" s="92"/>
    </row>
    <row r="9" spans="1:24" ht="18.600000000000001" thickBot="1" x14ac:dyDescent="0.55000000000000004">
      <c r="A9" s="280"/>
      <c r="B9" s="279"/>
      <c r="C9" s="279"/>
      <c r="D9" s="279"/>
      <c r="E9" s="279"/>
      <c r="F9" s="281"/>
      <c r="G9" s="281"/>
      <c r="H9" s="25" t="str">
        <f t="shared" si="4"/>
        <v/>
      </c>
      <c r="I9" s="25" t="str">
        <f t="shared" si="5"/>
        <v/>
      </c>
      <c r="J9" s="26" t="str">
        <f t="shared" si="6"/>
        <v/>
      </c>
      <c r="K9" s="252" t="str">
        <f>IF(B9="Printemps",_xlfn.DAYS(A9,' Elevage'!N$17),IF(B9="Eté",_xlfn.DAYS(A9,' Elevage'!N$18),IF(B9="Automne",_xlfn.DAYS(A9,' Elevage'!N$19),IF(B9="Hiver",_xlfn.DAYS(A9,' Elevage'!N$16),IF(B9="Stock",_xlfn.DAYS(A9,' Elevage'!N$12),"")))))</f>
        <v/>
      </c>
      <c r="M9" s="379" t="s">
        <v>125</v>
      </c>
      <c r="N9" s="380" t="s">
        <v>115</v>
      </c>
      <c r="O9" s="381">
        <f t="shared" si="3"/>
        <v>0</v>
      </c>
      <c r="P9" s="109"/>
      <c r="Q9" s="95"/>
      <c r="R9" s="95"/>
      <c r="S9" s="95"/>
      <c r="T9" s="95"/>
      <c r="U9" s="95"/>
      <c r="V9" s="95"/>
      <c r="W9" s="95"/>
      <c r="X9" s="95"/>
    </row>
    <row r="10" spans="1:24" ht="18.600000000000001" thickBot="1" x14ac:dyDescent="0.55000000000000004">
      <c r="A10" s="280"/>
      <c r="B10" s="279"/>
      <c r="C10" s="279"/>
      <c r="D10" s="279"/>
      <c r="E10" s="279"/>
      <c r="F10" s="281"/>
      <c r="G10" s="281"/>
      <c r="H10" s="25" t="str">
        <f t="shared" si="4"/>
        <v/>
      </c>
      <c r="I10" s="25" t="str">
        <f t="shared" si="5"/>
        <v/>
      </c>
      <c r="J10" s="26" t="str">
        <f t="shared" si="6"/>
        <v/>
      </c>
      <c r="K10" s="252" t="str">
        <f>IF(B10="Printemps",_xlfn.DAYS(A10,' Elevage'!N$17),IF(B10="Eté",_xlfn.DAYS(A10,' Elevage'!N$18),IF(B10="Automne",_xlfn.DAYS(A10,' Elevage'!N$19),IF(B10="Hiver",_xlfn.DAYS(A10,' Elevage'!N$16),IF(B10="Stock",_xlfn.DAYS(A10,' Elevage'!N$12),"")))))</f>
        <v/>
      </c>
      <c r="M10" s="641" t="s">
        <v>126</v>
      </c>
      <c r="N10" s="642"/>
      <c r="O10" s="64"/>
    </row>
    <row r="11" spans="1:24" x14ac:dyDescent="0.5">
      <c r="A11" s="280"/>
      <c r="B11" s="279"/>
      <c r="C11" s="279"/>
      <c r="D11" s="279"/>
      <c r="E11" s="279"/>
      <c r="F11" s="281"/>
      <c r="G11" s="281"/>
      <c r="H11" s="25" t="str">
        <f t="shared" si="4"/>
        <v/>
      </c>
      <c r="I11" s="25" t="str">
        <f t="shared" si="5"/>
        <v/>
      </c>
      <c r="J11" s="26" t="str">
        <f t="shared" si="6"/>
        <v/>
      </c>
      <c r="K11" s="252" t="str">
        <f>IF(B11="Printemps",_xlfn.DAYS(A11,' Elevage'!N$17),IF(B11="Eté",_xlfn.DAYS(A11,' Elevage'!N$18),IF(B11="Automne",_xlfn.DAYS(A11,' Elevage'!N$19),IF(B11="Hiver",_xlfn.DAYS(A11,' Elevage'!N$16),IF(B11="Stock",_xlfn.DAYS(A11,' Elevage'!N$12),"")))))</f>
        <v/>
      </c>
      <c r="M11" s="651" t="s">
        <v>127</v>
      </c>
      <c r="N11" s="65" t="s">
        <v>115</v>
      </c>
      <c r="O11" s="66">
        <f>SUM(P11:X11)</f>
        <v>0</v>
      </c>
      <c r="P11" s="97"/>
      <c r="Q11" s="98"/>
      <c r="R11" s="98"/>
      <c r="S11" s="98"/>
      <c r="T11" s="98"/>
      <c r="U11" s="98"/>
      <c r="V11" s="98"/>
      <c r="W11" s="98"/>
      <c r="X11" s="98"/>
    </row>
    <row r="12" spans="1:24" ht="18.600000000000001" thickBot="1" x14ac:dyDescent="0.55000000000000004">
      <c r="A12" s="280"/>
      <c r="B12" s="279"/>
      <c r="C12" s="279"/>
      <c r="D12" s="279"/>
      <c r="E12" s="279"/>
      <c r="F12" s="281"/>
      <c r="G12" s="281"/>
      <c r="H12" s="25" t="str">
        <f t="shared" si="4"/>
        <v/>
      </c>
      <c r="I12" s="25" t="str">
        <f t="shared" si="5"/>
        <v/>
      </c>
      <c r="J12" s="26" t="str">
        <f t="shared" si="6"/>
        <v/>
      </c>
      <c r="K12" s="252" t="str">
        <f>IF(B12="Printemps",_xlfn.DAYS(A12,' Elevage'!N$17),IF(B12="Eté",_xlfn.DAYS(A12,' Elevage'!N$18),IF(B12="Automne",_xlfn.DAYS(A12,' Elevage'!N$19),IF(B12="Hiver",_xlfn.DAYS(A12,' Elevage'!N$16),IF(B12="Stock",_xlfn.DAYS(A12,' Elevage'!N$12),"")))))</f>
        <v/>
      </c>
      <c r="M12" s="652"/>
      <c r="N12" s="57" t="s">
        <v>122</v>
      </c>
      <c r="O12" s="111">
        <f>SUM(P12:X12)</f>
        <v>0</v>
      </c>
      <c r="P12" s="103"/>
      <c r="Q12" s="104"/>
      <c r="R12" s="104"/>
      <c r="S12" s="104"/>
      <c r="T12" s="104"/>
      <c r="U12" s="104"/>
      <c r="V12" s="104"/>
      <c r="W12" s="104"/>
      <c r="X12" s="104"/>
    </row>
    <row r="13" spans="1:24" ht="18.600000000000001" thickBot="1" x14ac:dyDescent="0.55000000000000004">
      <c r="A13" s="280"/>
      <c r="B13" s="279"/>
      <c r="C13" s="279"/>
      <c r="D13" s="279"/>
      <c r="E13" s="279"/>
      <c r="F13" s="281"/>
      <c r="G13" s="281"/>
      <c r="H13" s="25" t="str">
        <f t="shared" si="4"/>
        <v/>
      </c>
      <c r="I13" s="25" t="str">
        <f t="shared" si="5"/>
        <v/>
      </c>
      <c r="J13" s="26" t="str">
        <f t="shared" si="6"/>
        <v/>
      </c>
      <c r="K13" s="252" t="str">
        <f>IF(B13="Printemps",_xlfn.DAYS(A13,' Elevage'!N$17),IF(B13="Eté",_xlfn.DAYS(A13,' Elevage'!N$18),IF(B13="Automne",_xlfn.DAYS(A13,' Elevage'!N$19),IF(B13="Hiver",_xlfn.DAYS(A13,' Elevage'!N$16),IF(B13="Stock",_xlfn.DAYS(A13,' Elevage'!N$12),"")))))</f>
        <v/>
      </c>
      <c r="M13" s="320" t="s">
        <v>66</v>
      </c>
      <c r="N13" s="321"/>
      <c r="O13" s="112">
        <f>O4+O6+O7+O9+O3+O11+O8</f>
        <v>0</v>
      </c>
      <c r="P13" s="325"/>
    </row>
    <row r="14" spans="1:24" x14ac:dyDescent="0.5">
      <c r="A14" s="280"/>
      <c r="B14" s="279"/>
      <c r="C14" s="279"/>
      <c r="D14" s="279"/>
      <c r="E14" s="279"/>
      <c r="F14" s="281"/>
      <c r="G14" s="281"/>
      <c r="H14" s="25" t="str">
        <f t="shared" si="4"/>
        <v/>
      </c>
      <c r="I14" s="25" t="str">
        <f t="shared" si="5"/>
        <v/>
      </c>
      <c r="J14" s="26" t="str">
        <f t="shared" si="6"/>
        <v/>
      </c>
      <c r="K14" s="252" t="str">
        <f>IF(B14="Printemps",_xlfn.DAYS(A14,' Elevage'!N$17),IF(B14="Eté",_xlfn.DAYS(A14,' Elevage'!N$18),IF(B14="Automne",_xlfn.DAYS(A14,' Elevage'!N$19),IF(B14="Hiver",_xlfn.DAYS(A14,' Elevage'!N$16),IF(B14="Stock",_xlfn.DAYS(A14,' Elevage'!N$12),"")))))</f>
        <v/>
      </c>
    </row>
    <row r="15" spans="1:24" x14ac:dyDescent="0.5">
      <c r="A15" s="280"/>
      <c r="B15" s="279"/>
      <c r="C15" s="279"/>
      <c r="D15" s="279"/>
      <c r="E15" s="279"/>
      <c r="F15" s="281"/>
      <c r="G15" s="281"/>
      <c r="H15" s="25" t="str">
        <f t="shared" si="4"/>
        <v/>
      </c>
      <c r="I15" s="25" t="str">
        <f t="shared" si="5"/>
        <v/>
      </c>
      <c r="J15" s="26" t="str">
        <f t="shared" si="6"/>
        <v/>
      </c>
      <c r="K15" s="252" t="str">
        <f>IF(B15="Printemps",_xlfn.DAYS(A15,' Elevage'!N$17),IF(B15="Eté",_xlfn.DAYS(A15,' Elevage'!N$18),IF(B15="Automne",_xlfn.DAYS(A15,' Elevage'!N$19),IF(B15="Hiver",_xlfn.DAYS(A15,' Elevage'!N$16),IF(B15="Stock",_xlfn.DAYS(A15,' Elevage'!N$12),"")))))</f>
        <v/>
      </c>
    </row>
    <row r="16" spans="1:24" x14ac:dyDescent="0.5">
      <c r="A16" s="280"/>
      <c r="B16" s="279"/>
      <c r="C16" s="279"/>
      <c r="D16" s="279"/>
      <c r="E16" s="279"/>
      <c r="F16" s="281"/>
      <c r="G16" s="281"/>
      <c r="H16" s="25" t="str">
        <f t="shared" si="4"/>
        <v/>
      </c>
      <c r="I16" s="25" t="str">
        <f t="shared" si="5"/>
        <v/>
      </c>
      <c r="J16" s="26" t="str">
        <f t="shared" si="6"/>
        <v/>
      </c>
      <c r="K16" s="252" t="str">
        <f>IF(B16="Printemps",_xlfn.DAYS(A16,' Elevage'!N$17),IF(B16="Eté",_xlfn.DAYS(A16,' Elevage'!N$18),IF(B16="Automne",_xlfn.DAYS(A16,' Elevage'!N$19),IF(B16="Hiver",_xlfn.DAYS(A16,' Elevage'!N$16),IF(B16="Stock",_xlfn.DAYS(A16,' Elevage'!N$12),"")))))</f>
        <v/>
      </c>
    </row>
    <row r="17" spans="1:14" x14ac:dyDescent="0.5">
      <c r="A17" s="280"/>
      <c r="B17" s="279"/>
      <c r="C17" s="279"/>
      <c r="D17" s="279"/>
      <c r="E17" s="279"/>
      <c r="F17" s="281"/>
      <c r="G17" s="281"/>
      <c r="H17" s="25" t="str">
        <f t="shared" si="4"/>
        <v/>
      </c>
      <c r="I17" s="25" t="str">
        <f t="shared" si="5"/>
        <v/>
      </c>
      <c r="J17" s="26" t="str">
        <f t="shared" si="6"/>
        <v/>
      </c>
      <c r="K17" s="252" t="str">
        <f>IF(B17="Printemps",_xlfn.DAYS(A17,' Elevage'!N$17),IF(B17="Eté",_xlfn.DAYS(A17,' Elevage'!N$18),IF(B17="Automne",_xlfn.DAYS(A17,' Elevage'!N$19),IF(B17="Hiver",_xlfn.DAYS(A17,' Elevage'!N$16),IF(B17="Stock",_xlfn.DAYS(A17,' Elevage'!N$12),"")))))</f>
        <v/>
      </c>
    </row>
    <row r="18" spans="1:14" x14ac:dyDescent="0.5">
      <c r="A18" s="280"/>
      <c r="B18" s="279"/>
      <c r="C18" s="279"/>
      <c r="D18" s="279"/>
      <c r="E18" s="279"/>
      <c r="F18" s="281"/>
      <c r="G18" s="281"/>
      <c r="H18" s="25" t="str">
        <f t="shared" si="4"/>
        <v/>
      </c>
      <c r="I18" s="25" t="str">
        <f t="shared" si="5"/>
        <v/>
      </c>
      <c r="J18" s="26" t="str">
        <f t="shared" si="6"/>
        <v/>
      </c>
      <c r="K18" s="252" t="str">
        <f>IF(B18="Printemps",_xlfn.DAYS(A18,' Elevage'!N$17),IF(B18="Eté",_xlfn.DAYS(A18,' Elevage'!N$18),IF(B18="Automne",_xlfn.DAYS(A18,' Elevage'!N$19),IF(B18="Hiver",_xlfn.DAYS(A18,' Elevage'!N$16),IF(B18="Stock",_xlfn.DAYS(A18,' Elevage'!N$12),"")))))</f>
        <v/>
      </c>
    </row>
    <row r="19" spans="1:14" x14ac:dyDescent="0.5">
      <c r="A19" s="280"/>
      <c r="B19" s="279"/>
      <c r="C19" s="279"/>
      <c r="D19" s="279"/>
      <c r="E19" s="279"/>
      <c r="F19" s="281"/>
      <c r="G19" s="281"/>
      <c r="H19" s="25" t="str">
        <f t="shared" si="4"/>
        <v/>
      </c>
      <c r="I19" s="25" t="str">
        <f t="shared" si="5"/>
        <v/>
      </c>
      <c r="J19" s="26" t="str">
        <f t="shared" si="6"/>
        <v/>
      </c>
      <c r="K19" s="252" t="str">
        <f>IF(B19="Printemps",_xlfn.DAYS(A19,' Elevage'!N$17),IF(B19="Eté",_xlfn.DAYS(A19,' Elevage'!N$18),IF(B19="Automne",_xlfn.DAYS(A19,' Elevage'!N$19),IF(B19="Hiver",_xlfn.DAYS(A19,' Elevage'!N$16),IF(B19="Stock",_xlfn.DAYS(A19,' Elevage'!N$12),"")))))</f>
        <v/>
      </c>
    </row>
    <row r="20" spans="1:14" ht="18.600000000000001" thickBot="1" x14ac:dyDescent="0.55000000000000004">
      <c r="A20" s="280"/>
      <c r="B20" s="279"/>
      <c r="C20" s="279"/>
      <c r="D20" s="279"/>
      <c r="E20" s="279"/>
      <c r="F20" s="281"/>
      <c r="G20" s="281"/>
      <c r="H20" s="25" t="str">
        <f t="shared" si="4"/>
        <v/>
      </c>
      <c r="I20" s="25" t="str">
        <f t="shared" si="5"/>
        <v/>
      </c>
      <c r="J20" s="26" t="str">
        <f t="shared" si="6"/>
        <v/>
      </c>
      <c r="K20" s="252" t="str">
        <f>IF(B20="Printemps",_xlfn.DAYS(A20,' Elevage'!N$17),IF(B20="Eté",_xlfn.DAYS(A20,' Elevage'!N$18),IF(B20="Automne",_xlfn.DAYS(A20,' Elevage'!N$19),IF(B20="Hiver",_xlfn.DAYS(A20,' Elevage'!N$16),IF(B20="Stock",_xlfn.DAYS(A20,' Elevage'!N$12),"")))))</f>
        <v/>
      </c>
    </row>
    <row r="21" spans="1:14" ht="19.2" x14ac:dyDescent="0.5">
      <c r="A21" s="280"/>
      <c r="B21" s="279"/>
      <c r="C21" s="279"/>
      <c r="D21" s="279"/>
      <c r="E21" s="279"/>
      <c r="F21" s="281"/>
      <c r="G21" s="281"/>
      <c r="H21" s="25" t="str">
        <f t="shared" si="4"/>
        <v/>
      </c>
      <c r="I21" s="25" t="str">
        <f t="shared" si="5"/>
        <v/>
      </c>
      <c r="J21" s="26" t="str">
        <f t="shared" si="6"/>
        <v/>
      </c>
      <c r="K21" s="252" t="str">
        <f>IF(B21="Printemps",_xlfn.DAYS(A21,' Elevage'!N$17),IF(B21="Eté",_xlfn.DAYS(A21,' Elevage'!N$18),IF(B21="Automne",_xlfn.DAYS(A21,' Elevage'!N$19),IF(B21="Hiver",_xlfn.DAYS(A21,' Elevage'!N$16),IF(B21="Stock",_xlfn.DAYS(A21,' Elevage'!N$12),"")))))</f>
        <v/>
      </c>
      <c r="M21" s="639" t="s">
        <v>128</v>
      </c>
      <c r="N21" s="640"/>
    </row>
    <row r="22" spans="1:14" x14ac:dyDescent="0.5">
      <c r="A22" s="280"/>
      <c r="B22" s="279"/>
      <c r="C22" s="279"/>
      <c r="D22" s="279"/>
      <c r="E22" s="279"/>
      <c r="F22" s="281"/>
      <c r="G22" s="281"/>
      <c r="H22" s="25" t="str">
        <f t="shared" si="4"/>
        <v/>
      </c>
      <c r="I22" s="25" t="str">
        <f t="shared" si="5"/>
        <v/>
      </c>
      <c r="J22" s="26" t="str">
        <f t="shared" si="6"/>
        <v/>
      </c>
      <c r="K22" s="252" t="str">
        <f>IF(B22="Printemps",_xlfn.DAYS(A22,' Elevage'!N$17),IF(B22="Eté",_xlfn.DAYS(A22,' Elevage'!N$18),IF(B22="Automne",_xlfn.DAYS(A22,' Elevage'!N$19),IF(B22="Hiver",_xlfn.DAYS(A22,' Elevage'!N$16),IF(B22="Stock",_xlfn.DAYS(A22,' Elevage'!N$12),"")))))</f>
        <v/>
      </c>
      <c r="M22" s="184" t="s">
        <v>129</v>
      </c>
      <c r="N22" s="358">
        <f>Références!N2</f>
        <v>16.5</v>
      </c>
    </row>
    <row r="23" spans="1:14" x14ac:dyDescent="0.5">
      <c r="A23" s="280"/>
      <c r="B23" s="279"/>
      <c r="C23" s="279"/>
      <c r="D23" s="279"/>
      <c r="E23" s="279"/>
      <c r="F23" s="281"/>
      <c r="G23" s="281"/>
      <c r="H23" s="25" t="str">
        <f t="shared" si="4"/>
        <v/>
      </c>
      <c r="I23" s="25" t="str">
        <f t="shared" si="5"/>
        <v/>
      </c>
      <c r="J23" s="26" t="str">
        <f t="shared" si="6"/>
        <v/>
      </c>
      <c r="K23" s="252" t="str">
        <f>IF(B23="Printemps",_xlfn.DAYS(A23,' Elevage'!N$17),IF(B23="Eté",_xlfn.DAYS(A23,' Elevage'!N$18),IF(B23="Automne",_xlfn.DAYS(A23,' Elevage'!N$19),IF(B23="Hiver",_xlfn.DAYS(A23,' Elevage'!N$16),IF(B23="Stock",_xlfn.DAYS(A23,' Elevage'!N$12),"")))))</f>
        <v/>
      </c>
      <c r="M23" s="184" t="s">
        <v>130</v>
      </c>
      <c r="N23" s="358">
        <f>Références!N3</f>
        <v>16.5</v>
      </c>
    </row>
    <row r="24" spans="1:14" x14ac:dyDescent="0.5">
      <c r="A24" s="280"/>
      <c r="B24" s="279"/>
      <c r="C24" s="279"/>
      <c r="D24" s="279"/>
      <c r="E24" s="279"/>
      <c r="F24" s="281"/>
      <c r="G24" s="281"/>
      <c r="H24" s="25" t="str">
        <f t="shared" si="4"/>
        <v/>
      </c>
      <c r="I24" s="25" t="str">
        <f t="shared" si="5"/>
        <v/>
      </c>
      <c r="J24" s="26" t="str">
        <f t="shared" si="6"/>
        <v/>
      </c>
      <c r="K24" s="252" t="str">
        <f>IF(B24="Printemps",_xlfn.DAYS(A24,' Elevage'!N$17),IF(B24="Eté",_xlfn.DAYS(A24,' Elevage'!N$18),IF(B24="Automne",_xlfn.DAYS(A24,' Elevage'!N$19),IF(B24="Hiver",_xlfn.DAYS(A24,' Elevage'!N$16),IF(B24="Stock",_xlfn.DAYS(A24,' Elevage'!N$12),"")))))</f>
        <v/>
      </c>
      <c r="M24" s="184" t="s">
        <v>131</v>
      </c>
      <c r="N24" s="358">
        <f>Références!N4</f>
        <v>17</v>
      </c>
    </row>
    <row r="25" spans="1:14" x14ac:dyDescent="0.5">
      <c r="A25" s="280"/>
      <c r="B25" s="279"/>
      <c r="C25" s="279"/>
      <c r="D25" s="279"/>
      <c r="E25" s="279"/>
      <c r="F25" s="281"/>
      <c r="G25" s="281"/>
      <c r="H25" s="25" t="str">
        <f t="shared" si="4"/>
        <v/>
      </c>
      <c r="I25" s="25" t="str">
        <f t="shared" si="5"/>
        <v/>
      </c>
      <c r="J25" s="26" t="str">
        <f t="shared" si="6"/>
        <v/>
      </c>
      <c r="K25" s="252" t="str">
        <f>IF(B25="Printemps",_xlfn.DAYS(A25,' Elevage'!N$17),IF(B25="Eté",_xlfn.DAYS(A25,' Elevage'!N$18),IF(B25="Automne",_xlfn.DAYS(A25,' Elevage'!N$19),IF(B25="Hiver",_xlfn.DAYS(A25,' Elevage'!N$16),IF(B25="Stock",_xlfn.DAYS(A25,' Elevage'!N$12),"")))))</f>
        <v/>
      </c>
      <c r="M25" s="184" t="s">
        <v>132</v>
      </c>
      <c r="N25" s="358">
        <f>Références!N5</f>
        <v>17</v>
      </c>
    </row>
    <row r="26" spans="1:14" x14ac:dyDescent="0.5">
      <c r="A26" s="280"/>
      <c r="B26" s="279"/>
      <c r="C26" s="279"/>
      <c r="D26" s="279"/>
      <c r="E26" s="279"/>
      <c r="F26" s="281"/>
      <c r="G26" s="281"/>
      <c r="H26" s="25" t="str">
        <f t="shared" si="4"/>
        <v/>
      </c>
      <c r="I26" s="25" t="str">
        <f t="shared" si="5"/>
        <v/>
      </c>
      <c r="J26" s="26" t="str">
        <f t="shared" si="6"/>
        <v/>
      </c>
      <c r="K26" s="252" t="str">
        <f>IF(B26="Printemps",_xlfn.DAYS(A26,' Elevage'!N$17),IF(B26="Eté",_xlfn.DAYS(A26,' Elevage'!N$18),IF(B26="Automne",_xlfn.DAYS(A26,' Elevage'!N$19),IF(B26="Hiver",_xlfn.DAYS(A26,' Elevage'!N$16),IF(B26="Stock",_xlfn.DAYS(A26,' Elevage'!N$12),"")))))</f>
        <v/>
      </c>
      <c r="M26" s="184" t="s">
        <v>133</v>
      </c>
      <c r="N26" s="358">
        <f>Références!N6</f>
        <v>11.5</v>
      </c>
    </row>
    <row r="27" spans="1:14" x14ac:dyDescent="0.5">
      <c r="A27" s="280"/>
      <c r="B27" s="279"/>
      <c r="C27" s="279"/>
      <c r="D27" s="279"/>
      <c r="E27" s="279"/>
      <c r="F27" s="281"/>
      <c r="G27" s="281"/>
      <c r="H27" s="25" t="str">
        <f t="shared" si="4"/>
        <v/>
      </c>
      <c r="I27" s="25" t="str">
        <f t="shared" si="5"/>
        <v/>
      </c>
      <c r="J27" s="26" t="str">
        <f t="shared" si="6"/>
        <v/>
      </c>
      <c r="K27" s="252" t="str">
        <f>IF(B27="Printemps",_xlfn.DAYS(A27,' Elevage'!N$17),IF(B27="Eté",_xlfn.DAYS(A27,' Elevage'!N$18),IF(B27="Automne",_xlfn.DAYS(A27,' Elevage'!N$19),IF(B27="Hiver",_xlfn.DAYS(A27,' Elevage'!N$16),IF(B27="Stock",_xlfn.DAYS(A27,' Elevage'!N$12),"")))))</f>
        <v/>
      </c>
      <c r="M27" s="184" t="s">
        <v>134</v>
      </c>
      <c r="N27" s="358">
        <f>Références!N7</f>
        <v>16.5</v>
      </c>
    </row>
    <row r="28" spans="1:14" x14ac:dyDescent="0.5">
      <c r="A28" s="280"/>
      <c r="B28" s="279"/>
      <c r="C28" s="279"/>
      <c r="D28" s="279"/>
      <c r="E28" s="279"/>
      <c r="F28" s="281"/>
      <c r="G28" s="281"/>
      <c r="H28" s="25" t="str">
        <f t="shared" si="4"/>
        <v/>
      </c>
      <c r="I28" s="25" t="str">
        <f t="shared" si="5"/>
        <v/>
      </c>
      <c r="J28" s="26" t="str">
        <f t="shared" si="6"/>
        <v/>
      </c>
      <c r="K28" s="252" t="str">
        <f>IF(B28="Printemps",_xlfn.DAYS(A28,' Elevage'!N$17),IF(B28="Eté",_xlfn.DAYS(A28,' Elevage'!N$18),IF(B28="Automne",_xlfn.DAYS(A28,' Elevage'!N$19),IF(B28="Hiver",_xlfn.DAYS(A28,' Elevage'!N$16),IF(B28="Stock",_xlfn.DAYS(A28,' Elevage'!N$12),"")))))</f>
        <v/>
      </c>
      <c r="M28" s="184" t="s">
        <v>135</v>
      </c>
      <c r="N28" s="358">
        <f>Références!N8</f>
        <v>11.5</v>
      </c>
    </row>
    <row r="29" spans="1:14" x14ac:dyDescent="0.5">
      <c r="A29" s="280"/>
      <c r="B29" s="279"/>
      <c r="C29" s="279"/>
      <c r="D29" s="279"/>
      <c r="E29" s="279"/>
      <c r="F29" s="281"/>
      <c r="G29" s="281"/>
      <c r="H29" s="25" t="str">
        <f t="shared" si="4"/>
        <v/>
      </c>
      <c r="I29" s="25" t="str">
        <f t="shared" si="5"/>
        <v/>
      </c>
      <c r="J29" s="26" t="str">
        <f t="shared" si="6"/>
        <v/>
      </c>
      <c r="K29" s="252" t="str">
        <f>IF(B29="Printemps",_xlfn.DAYS(A29,' Elevage'!N$17),IF(B29="Eté",_xlfn.DAYS(A29,' Elevage'!N$18),IF(B29="Automne",_xlfn.DAYS(A29,' Elevage'!N$19),IF(B29="Hiver",_xlfn.DAYS(A29,' Elevage'!N$16),IF(B29="Stock",_xlfn.DAYS(A29,' Elevage'!N$12),"")))))</f>
        <v/>
      </c>
      <c r="M29" s="184" t="s">
        <v>136</v>
      </c>
      <c r="N29" s="358">
        <f>Références!N9</f>
        <v>10</v>
      </c>
    </row>
    <row r="30" spans="1:14" x14ac:dyDescent="0.5">
      <c r="A30" s="280"/>
      <c r="B30" s="279"/>
      <c r="C30" s="279"/>
      <c r="D30" s="279"/>
      <c r="E30" s="279"/>
      <c r="F30" s="281"/>
      <c r="G30" s="281"/>
      <c r="H30" s="25" t="str">
        <f t="shared" si="4"/>
        <v/>
      </c>
      <c r="I30" s="25" t="str">
        <f t="shared" si="5"/>
        <v/>
      </c>
      <c r="J30" s="26" t="str">
        <f t="shared" si="6"/>
        <v/>
      </c>
      <c r="K30" s="252" t="str">
        <f>IF(B30="Printemps",_xlfn.DAYS(A30,' Elevage'!N$17),IF(B30="Eté",_xlfn.DAYS(A30,' Elevage'!N$18),IF(B30="Automne",_xlfn.DAYS(A30,' Elevage'!N$19),IF(B30="Hiver",_xlfn.DAYS(A30,' Elevage'!N$16),IF(B30="Stock",_xlfn.DAYS(A30,' Elevage'!N$12),"")))))</f>
        <v/>
      </c>
      <c r="M30" s="184" t="s">
        <v>137</v>
      </c>
      <c r="N30" s="358">
        <f>Références!N10</f>
        <v>20</v>
      </c>
    </row>
    <row r="31" spans="1:14" ht="18.600000000000001" thickBot="1" x14ac:dyDescent="0.55000000000000004">
      <c r="A31" s="280"/>
      <c r="B31" s="279"/>
      <c r="C31" s="279"/>
      <c r="D31" s="279"/>
      <c r="E31" s="279"/>
      <c r="F31" s="281"/>
      <c r="G31" s="281"/>
      <c r="H31" s="25" t="str">
        <f t="shared" si="4"/>
        <v/>
      </c>
      <c r="I31" s="25" t="str">
        <f t="shared" si="5"/>
        <v/>
      </c>
      <c r="J31" s="26" t="str">
        <f t="shared" si="6"/>
        <v/>
      </c>
      <c r="K31" s="252" t="str">
        <f>IF(B31="Printemps",_xlfn.DAYS(A31,' Elevage'!N$17),IF(B31="Eté",_xlfn.DAYS(A31,' Elevage'!N$18),IF(B31="Automne",_xlfn.DAYS(A31,' Elevage'!N$19),IF(B31="Hiver",_xlfn.DAYS(A31,' Elevage'!N$16),IF(B31="Stock",_xlfn.DAYS(A31,' Elevage'!N$12),"")))))</f>
        <v/>
      </c>
      <c r="M31" s="185" t="s">
        <v>138</v>
      </c>
      <c r="N31" s="359">
        <f>Références!N11</f>
        <v>25</v>
      </c>
    </row>
    <row r="32" spans="1:14" x14ac:dyDescent="0.5">
      <c r="A32" s="280"/>
      <c r="B32" s="279"/>
      <c r="C32" s="279"/>
      <c r="D32" s="279"/>
      <c r="E32" s="279"/>
      <c r="F32" s="281"/>
      <c r="G32" s="281"/>
      <c r="H32" s="25" t="str">
        <f t="shared" si="4"/>
        <v/>
      </c>
      <c r="I32" s="25" t="str">
        <f t="shared" si="5"/>
        <v/>
      </c>
      <c r="J32" s="26" t="str">
        <f t="shared" si="6"/>
        <v/>
      </c>
      <c r="K32" s="252" t="str">
        <f>IF(B32="Printemps",_xlfn.DAYS(A32,' Elevage'!N$17),IF(B32="Eté",_xlfn.DAYS(A32,' Elevage'!N$18),IF(B32="Automne",_xlfn.DAYS(A32,' Elevage'!N$19),IF(B32="Hiver",_xlfn.DAYS(A32,' Elevage'!N$16),IF(B32="Stock",_xlfn.DAYS(A32,' Elevage'!N$12),"")))))</f>
        <v/>
      </c>
    </row>
    <row r="33" spans="1:11" x14ac:dyDescent="0.5">
      <c r="A33" s="280"/>
      <c r="B33" s="279"/>
      <c r="C33" s="279"/>
      <c r="D33" s="279"/>
      <c r="E33" s="279"/>
      <c r="F33" s="281"/>
      <c r="G33" s="281"/>
      <c r="H33" s="25" t="str">
        <f t="shared" si="4"/>
        <v/>
      </c>
      <c r="I33" s="25" t="str">
        <f t="shared" si="5"/>
        <v/>
      </c>
      <c r="J33" s="26" t="str">
        <f t="shared" si="6"/>
        <v/>
      </c>
      <c r="K33" s="252" t="str">
        <f>IF(B33="Printemps",_xlfn.DAYS(A33,' Elevage'!N$17),IF(B33="Eté",_xlfn.DAYS(A33,' Elevage'!N$18),IF(B33="Automne",_xlfn.DAYS(A33,' Elevage'!N$19),IF(B33="Hiver",_xlfn.DAYS(A33,' Elevage'!N$16),IF(B33="Stock",_xlfn.DAYS(A33,' Elevage'!N$12),"")))))</f>
        <v/>
      </c>
    </row>
    <row r="34" spans="1:11" x14ac:dyDescent="0.5">
      <c r="A34" s="280"/>
      <c r="B34" s="279"/>
      <c r="C34" s="279"/>
      <c r="D34" s="279"/>
      <c r="E34" s="279"/>
      <c r="F34" s="281"/>
      <c r="G34" s="281"/>
      <c r="H34" s="25" t="str">
        <f t="shared" si="4"/>
        <v/>
      </c>
      <c r="I34" s="25" t="str">
        <f t="shared" si="5"/>
        <v/>
      </c>
      <c r="J34" s="26" t="str">
        <f t="shared" si="6"/>
        <v/>
      </c>
      <c r="K34" s="252" t="str">
        <f>IF(B34="Printemps",_xlfn.DAYS(A34,' Elevage'!N$17),IF(B34="Eté",_xlfn.DAYS(A34,' Elevage'!N$18),IF(B34="Automne",_xlfn.DAYS(A34,' Elevage'!N$19),IF(B34="Hiver",_xlfn.DAYS(A34,' Elevage'!N$16),IF(B34="Stock",_xlfn.DAYS(A34,' Elevage'!N$12),"")))))</f>
        <v/>
      </c>
    </row>
    <row r="35" spans="1:11" x14ac:dyDescent="0.5">
      <c r="A35" s="280"/>
      <c r="B35" s="279"/>
      <c r="C35" s="279"/>
      <c r="D35" s="279"/>
      <c r="E35" s="279"/>
      <c r="F35" s="281"/>
      <c r="G35" s="281"/>
      <c r="H35" s="25" t="str">
        <f t="shared" si="4"/>
        <v/>
      </c>
      <c r="I35" s="25" t="str">
        <f t="shared" si="5"/>
        <v/>
      </c>
      <c r="J35" s="26" t="str">
        <f t="shared" si="6"/>
        <v/>
      </c>
      <c r="K35" s="252" t="str">
        <f>IF(B35="Printemps",_xlfn.DAYS(A35,' Elevage'!N$17),IF(B35="Eté",_xlfn.DAYS(A35,' Elevage'!N$18),IF(B35="Automne",_xlfn.DAYS(A35,' Elevage'!N$19),IF(B35="Hiver",_xlfn.DAYS(A35,' Elevage'!N$16),IF(B35="Stock",_xlfn.DAYS(A35,' Elevage'!N$12),"")))))</f>
        <v/>
      </c>
    </row>
    <row r="36" spans="1:11" x14ac:dyDescent="0.5">
      <c r="A36" s="280"/>
      <c r="B36" s="279"/>
      <c r="C36" s="279"/>
      <c r="D36" s="279"/>
      <c r="E36" s="279"/>
      <c r="F36" s="281"/>
      <c r="G36" s="281"/>
      <c r="H36" s="25" t="str">
        <f t="shared" si="4"/>
        <v/>
      </c>
      <c r="I36" s="25" t="str">
        <f t="shared" si="5"/>
        <v/>
      </c>
      <c r="J36" s="26" t="str">
        <f t="shared" si="6"/>
        <v/>
      </c>
      <c r="K36" s="252" t="str">
        <f>IF(B36="Printemps",_xlfn.DAYS(A36,' Elevage'!N$17),IF(B36="Eté",_xlfn.DAYS(A36,' Elevage'!N$18),IF(B36="Automne",_xlfn.DAYS(A36,' Elevage'!N$19),IF(B36="Hiver",_xlfn.DAYS(A36,' Elevage'!N$16),IF(B36="Stock",_xlfn.DAYS(A36,' Elevage'!N$12),"")))))</f>
        <v/>
      </c>
    </row>
    <row r="37" spans="1:11" x14ac:dyDescent="0.5">
      <c r="A37" s="280"/>
      <c r="B37" s="279"/>
      <c r="C37" s="279"/>
      <c r="D37" s="279"/>
      <c r="E37" s="279"/>
      <c r="F37" s="281"/>
      <c r="G37" s="281"/>
      <c r="H37" s="25" t="str">
        <f t="shared" si="4"/>
        <v/>
      </c>
      <c r="I37" s="25" t="str">
        <f t="shared" si="5"/>
        <v/>
      </c>
      <c r="J37" s="26" t="str">
        <f t="shared" si="6"/>
        <v/>
      </c>
      <c r="K37" s="252" t="str">
        <f>IF(B37="Printemps",_xlfn.DAYS(A37,' Elevage'!N$17),IF(B37="Eté",_xlfn.DAYS(A37,' Elevage'!N$18),IF(B37="Automne",_xlfn.DAYS(A37,' Elevage'!N$19),IF(B37="Hiver",_xlfn.DAYS(A37,' Elevage'!N$16),IF(B37="Stock",_xlfn.DAYS(A37,' Elevage'!N$12),"")))))</f>
        <v/>
      </c>
    </row>
    <row r="38" spans="1:11" x14ac:dyDescent="0.5">
      <c r="A38" s="280"/>
      <c r="B38" s="279"/>
      <c r="C38" s="279"/>
      <c r="D38" s="279"/>
      <c r="E38" s="279"/>
      <c r="F38" s="281"/>
      <c r="G38" s="281"/>
      <c r="H38" s="25" t="str">
        <f t="shared" si="4"/>
        <v/>
      </c>
      <c r="I38" s="25" t="str">
        <f t="shared" si="5"/>
        <v/>
      </c>
      <c r="J38" s="26" t="str">
        <f t="shared" si="6"/>
        <v/>
      </c>
      <c r="K38" s="252" t="str">
        <f>IF(B38="Printemps",_xlfn.DAYS(A38,' Elevage'!N$17),IF(B38="Eté",_xlfn.DAYS(A38,' Elevage'!N$18),IF(B38="Automne",_xlfn.DAYS(A38,' Elevage'!N$19),IF(B38="Hiver",_xlfn.DAYS(A38,' Elevage'!N$16),IF(B38="Stock",_xlfn.DAYS(A38,' Elevage'!N$12),"")))))</f>
        <v/>
      </c>
    </row>
    <row r="39" spans="1:11" x14ac:dyDescent="0.5">
      <c r="A39" s="280"/>
      <c r="B39" s="279"/>
      <c r="C39" s="279"/>
      <c r="D39" s="279"/>
      <c r="E39" s="279"/>
      <c r="F39" s="281"/>
      <c r="G39" s="281"/>
      <c r="H39" s="25" t="str">
        <f t="shared" si="4"/>
        <v/>
      </c>
      <c r="I39" s="25" t="str">
        <f t="shared" si="5"/>
        <v/>
      </c>
      <c r="J39" s="26" t="str">
        <f t="shared" si="6"/>
        <v/>
      </c>
      <c r="K39" s="252" t="str">
        <f>IF(B39="Printemps",_xlfn.DAYS(A39,' Elevage'!N$17),IF(B39="Eté",_xlfn.DAYS(A39,' Elevage'!N$18),IF(B39="Automne",_xlfn.DAYS(A39,' Elevage'!N$19),IF(B39="Hiver",_xlfn.DAYS(A39,' Elevage'!N$16),IF(B39="Stock",_xlfn.DAYS(A39,' Elevage'!N$12),"")))))</f>
        <v/>
      </c>
    </row>
    <row r="40" spans="1:11" x14ac:dyDescent="0.5">
      <c r="A40" s="280"/>
      <c r="B40" s="279"/>
      <c r="C40" s="279"/>
      <c r="D40" s="279"/>
      <c r="E40" s="279"/>
      <c r="F40" s="281"/>
      <c r="G40" s="281"/>
      <c r="H40" s="25" t="str">
        <f t="shared" si="4"/>
        <v/>
      </c>
      <c r="I40" s="25" t="str">
        <f t="shared" si="5"/>
        <v/>
      </c>
      <c r="J40" s="26" t="str">
        <f t="shared" si="6"/>
        <v/>
      </c>
      <c r="K40" s="252" t="str">
        <f>IF(B40="Printemps",_xlfn.DAYS(A40,' Elevage'!N$17),IF(B40="Eté",_xlfn.DAYS(A40,' Elevage'!N$18),IF(B40="Automne",_xlfn.DAYS(A40,' Elevage'!N$19),IF(B40="Hiver",_xlfn.DAYS(A40,' Elevage'!N$16),IF(B40="Stock",_xlfn.DAYS(A40,' Elevage'!N$12),"")))))</f>
        <v/>
      </c>
    </row>
    <row r="41" spans="1:11" x14ac:dyDescent="0.5">
      <c r="A41" s="280"/>
      <c r="B41" s="279"/>
      <c r="C41" s="279"/>
      <c r="D41" s="279"/>
      <c r="E41" s="279"/>
      <c r="F41" s="281"/>
      <c r="G41" s="281"/>
      <c r="H41" s="25" t="str">
        <f t="shared" si="4"/>
        <v/>
      </c>
      <c r="I41" s="25" t="str">
        <f t="shared" si="5"/>
        <v/>
      </c>
      <c r="J41" s="26" t="str">
        <f t="shared" si="6"/>
        <v/>
      </c>
      <c r="K41" s="252" t="str">
        <f>IF(B41="Printemps",_xlfn.DAYS(A41,' Elevage'!N$17),IF(B41="Eté",_xlfn.DAYS(A41,' Elevage'!N$18),IF(B41="Automne",_xlfn.DAYS(A41,' Elevage'!N$19),IF(B41="Hiver",_xlfn.DAYS(A41,' Elevage'!N$16),IF(B41="Stock",_xlfn.DAYS(A41,' Elevage'!N$12),"")))))</f>
        <v/>
      </c>
    </row>
    <row r="42" spans="1:11" x14ac:dyDescent="0.5">
      <c r="A42" s="280"/>
      <c r="B42" s="279"/>
      <c r="C42" s="279"/>
      <c r="D42" s="279"/>
      <c r="E42" s="279"/>
      <c r="F42" s="281"/>
      <c r="G42" s="281"/>
      <c r="H42" s="25" t="str">
        <f t="shared" si="4"/>
        <v/>
      </c>
      <c r="I42" s="25" t="str">
        <f t="shared" si="5"/>
        <v/>
      </c>
      <c r="J42" s="26" t="str">
        <f t="shared" si="6"/>
        <v/>
      </c>
      <c r="K42" s="252" t="str">
        <f>IF(B42="Printemps",_xlfn.DAYS(A42,' Elevage'!N$17),IF(B42="Eté",_xlfn.DAYS(A42,' Elevage'!N$18),IF(B42="Automne",_xlfn.DAYS(A42,' Elevage'!N$19),IF(B42="Hiver",_xlfn.DAYS(A42,' Elevage'!N$16),IF(B42="Stock",_xlfn.DAYS(A42,' Elevage'!N$12),"")))))</f>
        <v/>
      </c>
    </row>
    <row r="43" spans="1:11" x14ac:dyDescent="0.5">
      <c r="A43" s="280"/>
      <c r="B43" s="279"/>
      <c r="C43" s="279"/>
      <c r="D43" s="279"/>
      <c r="E43" s="279"/>
      <c r="F43" s="281"/>
      <c r="G43" s="281"/>
      <c r="H43" s="25" t="str">
        <f t="shared" si="4"/>
        <v/>
      </c>
      <c r="I43" s="25" t="str">
        <f t="shared" si="5"/>
        <v/>
      </c>
      <c r="J43" s="26" t="str">
        <f t="shared" si="6"/>
        <v/>
      </c>
      <c r="K43" s="252" t="str">
        <f>IF(B43="Printemps",_xlfn.DAYS(A43,' Elevage'!N$17),IF(B43="Eté",_xlfn.DAYS(A43,' Elevage'!N$18),IF(B43="Automne",_xlfn.DAYS(A43,' Elevage'!N$19),IF(B43="Hiver",_xlfn.DAYS(A43,' Elevage'!N$16),IF(B43="Stock",_xlfn.DAYS(A43,' Elevage'!N$12),"")))))</f>
        <v/>
      </c>
    </row>
    <row r="44" spans="1:11" x14ac:dyDescent="0.5">
      <c r="A44" s="280"/>
      <c r="B44" s="279"/>
      <c r="C44" s="279"/>
      <c r="D44" s="279"/>
      <c r="E44" s="279"/>
      <c r="F44" s="281"/>
      <c r="G44" s="281"/>
      <c r="H44" s="25" t="str">
        <f t="shared" si="4"/>
        <v/>
      </c>
      <c r="I44" s="25" t="str">
        <f t="shared" si="5"/>
        <v/>
      </c>
      <c r="J44" s="26" t="str">
        <f t="shared" si="6"/>
        <v/>
      </c>
      <c r="K44" s="252" t="str">
        <f>IF(B44="Printemps",_xlfn.DAYS(A44,' Elevage'!N$17),IF(B44="Eté",_xlfn.DAYS(A44,' Elevage'!N$18),IF(B44="Automne",_xlfn.DAYS(A44,' Elevage'!N$19),IF(B44="Hiver",_xlfn.DAYS(A44,' Elevage'!N$16),IF(B44="Stock",_xlfn.DAYS(A44,' Elevage'!N$12),"")))))</f>
        <v/>
      </c>
    </row>
    <row r="45" spans="1:11" x14ac:dyDescent="0.5">
      <c r="A45" s="280"/>
      <c r="B45" s="279"/>
      <c r="C45" s="279"/>
      <c r="D45" s="279"/>
      <c r="E45" s="279"/>
      <c r="F45" s="281"/>
      <c r="G45" s="281"/>
      <c r="H45" s="25" t="str">
        <f t="shared" si="4"/>
        <v/>
      </c>
      <c r="I45" s="25" t="str">
        <f t="shared" si="5"/>
        <v/>
      </c>
      <c r="J45" s="26" t="str">
        <f t="shared" si="6"/>
        <v/>
      </c>
      <c r="K45" s="252" t="str">
        <f>IF(B45="Printemps",_xlfn.DAYS(A45,' Elevage'!N$17),IF(B45="Eté",_xlfn.DAYS(A45,' Elevage'!N$18),IF(B45="Automne",_xlfn.DAYS(A45,' Elevage'!N$19),IF(B45="Hiver",_xlfn.DAYS(A45,' Elevage'!N$16),IF(B45="Stock",_xlfn.DAYS(A45,' Elevage'!N$12),"")))))</f>
        <v/>
      </c>
    </row>
    <row r="46" spans="1:11" x14ac:dyDescent="0.5">
      <c r="A46" s="280"/>
      <c r="B46" s="279"/>
      <c r="C46" s="279"/>
      <c r="D46" s="279"/>
      <c r="E46" s="279"/>
      <c r="F46" s="281"/>
      <c r="G46" s="281"/>
      <c r="H46" s="25" t="str">
        <f t="shared" si="4"/>
        <v/>
      </c>
      <c r="I46" s="25" t="str">
        <f t="shared" si="5"/>
        <v/>
      </c>
      <c r="J46" s="26" t="str">
        <f t="shared" si="6"/>
        <v/>
      </c>
      <c r="K46" s="252" t="str">
        <f>IF(B46="Printemps",_xlfn.DAYS(A46,' Elevage'!N$17),IF(B46="Eté",_xlfn.DAYS(A46,' Elevage'!N$18),IF(B46="Automne",_xlfn.DAYS(A46,' Elevage'!N$19),IF(B46="Hiver",_xlfn.DAYS(A46,' Elevage'!N$16),IF(B46="Stock",_xlfn.DAYS(A46,' Elevage'!N$12),"")))))</f>
        <v/>
      </c>
    </row>
    <row r="47" spans="1:11" x14ac:dyDescent="0.5">
      <c r="A47" s="280"/>
      <c r="B47" s="279"/>
      <c r="C47" s="279"/>
      <c r="D47" s="279"/>
      <c r="E47" s="279"/>
      <c r="F47" s="281"/>
      <c r="G47" s="281"/>
      <c r="H47" s="25" t="str">
        <f t="shared" si="4"/>
        <v/>
      </c>
      <c r="I47" s="25" t="str">
        <f t="shared" si="5"/>
        <v/>
      </c>
      <c r="J47" s="26" t="str">
        <f t="shared" si="6"/>
        <v/>
      </c>
      <c r="K47" s="252" t="str">
        <f>IF(B47="Printemps",_xlfn.DAYS(A47,' Elevage'!N$17),IF(B47="Eté",_xlfn.DAYS(A47,' Elevage'!N$18),IF(B47="Automne",_xlfn.DAYS(A47,' Elevage'!N$19),IF(B47="Hiver",_xlfn.DAYS(A47,' Elevage'!N$16),IF(B47="Stock",_xlfn.DAYS(A47,' Elevage'!N$12),"")))))</f>
        <v/>
      </c>
    </row>
    <row r="48" spans="1:11" x14ac:dyDescent="0.5">
      <c r="A48" s="280"/>
      <c r="B48" s="279"/>
      <c r="C48" s="279"/>
      <c r="D48" s="279"/>
      <c r="E48" s="279"/>
      <c r="F48" s="281"/>
      <c r="G48" s="281"/>
      <c r="H48" s="25" t="str">
        <f t="shared" si="4"/>
        <v/>
      </c>
      <c r="I48" s="25" t="str">
        <f t="shared" si="5"/>
        <v/>
      </c>
      <c r="J48" s="26" t="str">
        <f t="shared" si="6"/>
        <v/>
      </c>
      <c r="K48" s="252" t="str">
        <f>IF(B48="Printemps",_xlfn.DAYS(A48,' Elevage'!N$17),IF(B48="Eté",_xlfn.DAYS(A48,' Elevage'!N$18),IF(B48="Automne",_xlfn.DAYS(A48,' Elevage'!N$19),IF(B48="Hiver",_xlfn.DAYS(A48,' Elevage'!N$16),IF(B48="Stock",_xlfn.DAYS(A48,' Elevage'!N$12),"")))))</f>
        <v/>
      </c>
    </row>
    <row r="49" spans="1:11" x14ac:dyDescent="0.5">
      <c r="A49" s="280"/>
      <c r="B49" s="279"/>
      <c r="C49" s="279"/>
      <c r="D49" s="279"/>
      <c r="E49" s="279"/>
      <c r="F49" s="281"/>
      <c r="G49" s="281"/>
      <c r="H49" s="25" t="str">
        <f t="shared" si="4"/>
        <v/>
      </c>
      <c r="I49" s="25" t="str">
        <f t="shared" si="5"/>
        <v/>
      </c>
      <c r="J49" s="26" t="str">
        <f t="shared" si="6"/>
        <v/>
      </c>
      <c r="K49" s="252" t="str">
        <f>IF(B49="Printemps",_xlfn.DAYS(A49,' Elevage'!N$17),IF(B49="Eté",_xlfn.DAYS(A49,' Elevage'!N$18),IF(B49="Automne",_xlfn.DAYS(A49,' Elevage'!N$19),IF(B49="Hiver",_xlfn.DAYS(A49,' Elevage'!N$16),IF(B49="Stock",_xlfn.DAYS(A49,' Elevage'!N$12),"")))))</f>
        <v/>
      </c>
    </row>
    <row r="50" spans="1:11" x14ac:dyDescent="0.5">
      <c r="A50" s="280"/>
      <c r="B50" s="279"/>
      <c r="C50" s="279"/>
      <c r="D50" s="279"/>
      <c r="E50" s="279"/>
      <c r="F50" s="281"/>
      <c r="G50" s="281"/>
      <c r="H50" s="25" t="str">
        <f t="shared" si="4"/>
        <v/>
      </c>
      <c r="I50" s="25" t="str">
        <f t="shared" si="5"/>
        <v/>
      </c>
      <c r="J50" s="26" t="str">
        <f t="shared" si="6"/>
        <v/>
      </c>
      <c r="K50" s="252" t="str">
        <f>IF(B50="Printemps",_xlfn.DAYS(A50,' Elevage'!N$17),IF(B50="Eté",_xlfn.DAYS(A50,' Elevage'!N$18),IF(B50="Automne",_xlfn.DAYS(A50,' Elevage'!N$19),IF(B50="Hiver",_xlfn.DAYS(A50,' Elevage'!N$16),IF(B50="Stock",_xlfn.DAYS(A50,' Elevage'!N$12),"")))))</f>
        <v/>
      </c>
    </row>
    <row r="51" spans="1:11" x14ac:dyDescent="0.5">
      <c r="A51" s="280"/>
      <c r="B51" s="279"/>
      <c r="C51" s="279"/>
      <c r="D51" s="279"/>
      <c r="E51" s="279"/>
      <c r="F51" s="281"/>
      <c r="G51" s="281"/>
      <c r="H51" s="25" t="str">
        <f t="shared" si="4"/>
        <v/>
      </c>
      <c r="I51" s="25" t="str">
        <f t="shared" si="5"/>
        <v/>
      </c>
      <c r="J51" s="26" t="str">
        <f t="shared" si="6"/>
        <v/>
      </c>
      <c r="K51" s="252" t="str">
        <f>IF(B51="Printemps",_xlfn.DAYS(A51,' Elevage'!N$17),IF(B51="Eté",_xlfn.DAYS(A51,' Elevage'!N$18),IF(B51="Automne",_xlfn.DAYS(A51,' Elevage'!N$19),IF(B51="Hiver",_xlfn.DAYS(A51,' Elevage'!N$16),IF(B51="Stock",_xlfn.DAYS(A51,' Elevage'!N$12),"")))))</f>
        <v/>
      </c>
    </row>
    <row r="52" spans="1:11" x14ac:dyDescent="0.5">
      <c r="A52" s="280"/>
      <c r="B52" s="279"/>
      <c r="C52" s="279"/>
      <c r="D52" s="279"/>
      <c r="E52" s="279"/>
      <c r="F52" s="281"/>
      <c r="G52" s="281"/>
      <c r="H52" s="25" t="str">
        <f t="shared" si="4"/>
        <v/>
      </c>
      <c r="I52" s="25" t="str">
        <f t="shared" si="5"/>
        <v/>
      </c>
      <c r="J52" s="26" t="str">
        <f t="shared" si="6"/>
        <v/>
      </c>
      <c r="K52" s="252" t="str">
        <f>IF(B52="Printemps",_xlfn.DAYS(A52,' Elevage'!N$17),IF(B52="Eté",_xlfn.DAYS(A52,' Elevage'!N$18),IF(B52="Automne",_xlfn.DAYS(A52,' Elevage'!N$19),IF(B52="Hiver",_xlfn.DAYS(A52,' Elevage'!N$16),IF(B52="Stock",_xlfn.DAYS(A52,' Elevage'!N$12),"")))))</f>
        <v/>
      </c>
    </row>
    <row r="53" spans="1:11" x14ac:dyDescent="0.5">
      <c r="A53" s="280"/>
      <c r="B53" s="279"/>
      <c r="C53" s="279"/>
      <c r="D53" s="279"/>
      <c r="E53" s="279"/>
      <c r="F53" s="281"/>
      <c r="G53" s="281"/>
      <c r="H53" s="25" t="str">
        <f t="shared" si="4"/>
        <v/>
      </c>
      <c r="I53" s="25" t="str">
        <f t="shared" si="5"/>
        <v/>
      </c>
      <c r="J53" s="26" t="str">
        <f t="shared" si="6"/>
        <v/>
      </c>
      <c r="K53" s="252" t="str">
        <f>IF(B53="Printemps",_xlfn.DAYS(A53,' Elevage'!N$17),IF(B53="Eté",_xlfn.DAYS(A53,' Elevage'!N$18),IF(B53="Automne",_xlfn.DAYS(A53,' Elevage'!N$19),IF(B53="Hiver",_xlfn.DAYS(A53,' Elevage'!N$16),IF(B53="Stock",_xlfn.DAYS(A53,' Elevage'!N$12),"")))))</f>
        <v/>
      </c>
    </row>
    <row r="54" spans="1:11" x14ac:dyDescent="0.5">
      <c r="A54" s="280"/>
      <c r="B54" s="279"/>
      <c r="C54" s="279"/>
      <c r="D54" s="279"/>
      <c r="E54" s="279"/>
      <c r="F54" s="281"/>
      <c r="G54" s="281"/>
      <c r="H54" s="25" t="str">
        <f t="shared" si="4"/>
        <v/>
      </c>
      <c r="I54" s="25" t="str">
        <f t="shared" si="5"/>
        <v/>
      </c>
      <c r="J54" s="26" t="str">
        <f t="shared" si="6"/>
        <v/>
      </c>
      <c r="K54" s="252" t="str">
        <f>IF(B54="Printemps",_xlfn.DAYS(A54,' Elevage'!N$17),IF(B54="Eté",_xlfn.DAYS(A54,' Elevage'!N$18),IF(B54="Automne",_xlfn.DAYS(A54,' Elevage'!N$19),IF(B54="Hiver",_xlfn.DAYS(A54,' Elevage'!N$16),IF(B54="Stock",_xlfn.DAYS(A54,' Elevage'!N$12),"")))))</f>
        <v/>
      </c>
    </row>
    <row r="55" spans="1:11" x14ac:dyDescent="0.5">
      <c r="A55" s="280"/>
      <c r="B55" s="279"/>
      <c r="C55" s="279"/>
      <c r="D55" s="279"/>
      <c r="E55" s="279"/>
      <c r="F55" s="281"/>
      <c r="G55" s="281"/>
      <c r="H55" s="25" t="str">
        <f t="shared" si="4"/>
        <v/>
      </c>
      <c r="I55" s="25" t="str">
        <f t="shared" si="5"/>
        <v/>
      </c>
      <c r="J55" s="26" t="str">
        <f t="shared" si="6"/>
        <v/>
      </c>
      <c r="K55" s="252" t="str">
        <f>IF(B55="Printemps",_xlfn.DAYS(A55,' Elevage'!N$17),IF(B55="Eté",_xlfn.DAYS(A55,' Elevage'!N$18),IF(B55="Automne",_xlfn.DAYS(A55,' Elevage'!N$19),IF(B55="Hiver",_xlfn.DAYS(A55,' Elevage'!N$16),IF(B55="Stock",_xlfn.DAYS(A55,' Elevage'!N$12),"")))))</f>
        <v/>
      </c>
    </row>
    <row r="56" spans="1:11" x14ac:dyDescent="0.5">
      <c r="A56" s="280"/>
      <c r="B56" s="279"/>
      <c r="C56" s="279"/>
      <c r="D56" s="279"/>
      <c r="E56" s="279"/>
      <c r="F56" s="281"/>
      <c r="G56" s="281"/>
      <c r="H56" s="25" t="str">
        <f t="shared" si="4"/>
        <v/>
      </c>
      <c r="I56" s="25" t="str">
        <f t="shared" si="5"/>
        <v/>
      </c>
      <c r="J56" s="26" t="str">
        <f t="shared" si="6"/>
        <v/>
      </c>
      <c r="K56" s="252" t="str">
        <f>IF(B56="Printemps",_xlfn.DAYS(A56,' Elevage'!N$17),IF(B56="Eté",_xlfn.DAYS(A56,' Elevage'!N$18),IF(B56="Automne",_xlfn.DAYS(A56,' Elevage'!N$19),IF(B56="Hiver",_xlfn.DAYS(A56,' Elevage'!N$16),IF(B56="Stock",_xlfn.DAYS(A56,' Elevage'!N$12),"")))))</f>
        <v/>
      </c>
    </row>
    <row r="57" spans="1:11" x14ac:dyDescent="0.5">
      <c r="A57" s="280"/>
      <c r="B57" s="279"/>
      <c r="C57" s="279"/>
      <c r="D57" s="279"/>
      <c r="E57" s="279"/>
      <c r="F57" s="281"/>
      <c r="G57" s="281"/>
      <c r="H57" s="25" t="str">
        <f t="shared" si="4"/>
        <v/>
      </c>
      <c r="I57" s="25" t="str">
        <f t="shared" si="5"/>
        <v/>
      </c>
      <c r="J57" s="26" t="str">
        <f t="shared" si="6"/>
        <v/>
      </c>
      <c r="K57" s="252" t="str">
        <f>IF(B57="Printemps",_xlfn.DAYS(A57,' Elevage'!N$17),IF(B57="Eté",_xlfn.DAYS(A57,' Elevage'!N$18),IF(B57="Automne",_xlfn.DAYS(A57,' Elevage'!N$19),IF(B57="Hiver",_xlfn.DAYS(A57,' Elevage'!N$16),IF(B57="Stock",_xlfn.DAYS(A57,' Elevage'!N$12),"")))))</f>
        <v/>
      </c>
    </row>
    <row r="58" spans="1:11" x14ac:dyDescent="0.5">
      <c r="A58" s="280"/>
      <c r="B58" s="279"/>
      <c r="C58" s="279"/>
      <c r="D58" s="279"/>
      <c r="E58" s="279"/>
      <c r="F58" s="281"/>
      <c r="G58" s="281"/>
      <c r="H58" s="25" t="str">
        <f t="shared" si="4"/>
        <v/>
      </c>
      <c r="I58" s="25" t="str">
        <f t="shared" si="5"/>
        <v/>
      </c>
      <c r="J58" s="26" t="str">
        <f t="shared" si="6"/>
        <v/>
      </c>
      <c r="K58" s="252" t="str">
        <f>IF(B58="Printemps",_xlfn.DAYS(A58,' Elevage'!N$17),IF(B58="Eté",_xlfn.DAYS(A58,' Elevage'!N$18),IF(B58="Automne",_xlfn.DAYS(A58,' Elevage'!N$19),IF(B58="Hiver",_xlfn.DAYS(A58,' Elevage'!N$16),IF(B58="Stock",_xlfn.DAYS(A58,' Elevage'!N$12),"")))))</f>
        <v/>
      </c>
    </row>
    <row r="59" spans="1:11" x14ac:dyDescent="0.5">
      <c r="A59" s="280"/>
      <c r="B59" s="279"/>
      <c r="C59" s="279"/>
      <c r="D59" s="279"/>
      <c r="E59" s="279"/>
      <c r="F59" s="281"/>
      <c r="G59" s="281"/>
      <c r="H59" s="25" t="str">
        <f t="shared" si="4"/>
        <v/>
      </c>
      <c r="I59" s="25" t="str">
        <f t="shared" si="5"/>
        <v/>
      </c>
      <c r="J59" s="26" t="str">
        <f t="shared" si="6"/>
        <v/>
      </c>
      <c r="K59" s="252" t="str">
        <f>IF(B59="Printemps",_xlfn.DAYS(A59,' Elevage'!N$17),IF(B59="Eté",_xlfn.DAYS(A59,' Elevage'!N$18),IF(B59="Automne",_xlfn.DAYS(A59,' Elevage'!N$19),IF(B59="Hiver",_xlfn.DAYS(A59,' Elevage'!N$16),IF(B59="Stock",_xlfn.DAYS(A59,' Elevage'!N$12),"")))))</f>
        <v/>
      </c>
    </row>
    <row r="60" spans="1:11" x14ac:dyDescent="0.5">
      <c r="A60" s="280"/>
      <c r="B60" s="279"/>
      <c r="C60" s="279"/>
      <c r="D60" s="279"/>
      <c r="E60" s="279"/>
      <c r="F60" s="281"/>
      <c r="G60" s="281"/>
      <c r="H60" s="25" t="str">
        <f t="shared" si="4"/>
        <v/>
      </c>
      <c r="I60" s="25" t="str">
        <f t="shared" si="5"/>
        <v/>
      </c>
      <c r="J60" s="26" t="str">
        <f t="shared" si="6"/>
        <v/>
      </c>
      <c r="K60" s="252" t="str">
        <f>IF(B60="Printemps",_xlfn.DAYS(A60,' Elevage'!N$17),IF(B60="Eté",_xlfn.DAYS(A60,' Elevage'!N$18),IF(B60="Automne",_xlfn.DAYS(A60,' Elevage'!N$19),IF(B60="Hiver",_xlfn.DAYS(A60,' Elevage'!N$16),IF(B60="Stock",_xlfn.DAYS(A60,' Elevage'!N$12),"")))))</f>
        <v/>
      </c>
    </row>
    <row r="61" spans="1:11" x14ac:dyDescent="0.5">
      <c r="A61" s="280"/>
      <c r="B61" s="279"/>
      <c r="C61" s="279"/>
      <c r="D61" s="279"/>
      <c r="E61" s="279"/>
      <c r="F61" s="281"/>
      <c r="G61" s="281"/>
      <c r="H61" s="25" t="str">
        <f t="shared" si="4"/>
        <v/>
      </c>
      <c r="I61" s="25" t="str">
        <f t="shared" si="5"/>
        <v/>
      </c>
      <c r="J61" s="26" t="str">
        <f t="shared" si="6"/>
        <v/>
      </c>
      <c r="K61" s="252" t="str">
        <f>IF(B61="Printemps",_xlfn.DAYS(A61,' Elevage'!N$17),IF(B61="Eté",_xlfn.DAYS(A61,' Elevage'!N$18),IF(B61="Automne",_xlfn.DAYS(A61,' Elevage'!N$19),IF(B61="Hiver",_xlfn.DAYS(A61,' Elevage'!N$16),IF(B61="Stock",_xlfn.DAYS(A61,' Elevage'!N$12),"")))))</f>
        <v/>
      </c>
    </row>
    <row r="62" spans="1:11" x14ac:dyDescent="0.5">
      <c r="A62" s="280"/>
      <c r="B62" s="279"/>
      <c r="C62" s="279"/>
      <c r="D62" s="279"/>
      <c r="E62" s="279"/>
      <c r="F62" s="281"/>
      <c r="G62" s="281"/>
      <c r="H62" s="25" t="str">
        <f t="shared" si="4"/>
        <v/>
      </c>
      <c r="I62" s="25" t="str">
        <f t="shared" si="5"/>
        <v/>
      </c>
      <c r="J62" s="26" t="str">
        <f t="shared" si="6"/>
        <v/>
      </c>
      <c r="K62" s="252" t="str">
        <f>IF(B62="Printemps",_xlfn.DAYS(A62,' Elevage'!N$17),IF(B62="Eté",_xlfn.DAYS(A62,' Elevage'!N$18),IF(B62="Automne",_xlfn.DAYS(A62,' Elevage'!N$19),IF(B62="Hiver",_xlfn.DAYS(A62,' Elevage'!N$16),IF(B62="Stock",_xlfn.DAYS(A62,' Elevage'!N$12),"")))))</f>
        <v/>
      </c>
    </row>
    <row r="63" spans="1:11" x14ac:dyDescent="0.5">
      <c r="A63" s="280"/>
      <c r="B63" s="279"/>
      <c r="C63" s="279"/>
      <c r="D63" s="279"/>
      <c r="E63" s="279"/>
      <c r="F63" s="281"/>
      <c r="G63" s="281"/>
      <c r="H63" s="25" t="str">
        <f t="shared" si="4"/>
        <v/>
      </c>
      <c r="I63" s="25" t="str">
        <f t="shared" si="5"/>
        <v/>
      </c>
      <c r="J63" s="26" t="str">
        <f t="shared" si="6"/>
        <v/>
      </c>
      <c r="K63" s="252" t="str">
        <f>IF(B63="Printemps",_xlfn.DAYS(A63,' Elevage'!N$17),IF(B63="Eté",_xlfn.DAYS(A63,' Elevage'!N$18),IF(B63="Automne",_xlfn.DAYS(A63,' Elevage'!N$19),IF(B63="Hiver",_xlfn.DAYS(A63,' Elevage'!N$16),IF(B63="Stock",_xlfn.DAYS(A63,' Elevage'!N$12),"")))))</f>
        <v/>
      </c>
    </row>
    <row r="64" spans="1:11" x14ac:dyDescent="0.5">
      <c r="A64" s="280"/>
      <c r="B64" s="279"/>
      <c r="C64" s="279"/>
      <c r="D64" s="279"/>
      <c r="E64" s="279"/>
      <c r="F64" s="281"/>
      <c r="G64" s="281"/>
      <c r="H64" s="25" t="str">
        <f t="shared" si="4"/>
        <v/>
      </c>
      <c r="I64" s="25" t="str">
        <f t="shared" si="5"/>
        <v/>
      </c>
      <c r="J64" s="26" t="str">
        <f t="shared" si="6"/>
        <v/>
      </c>
      <c r="K64" s="252" t="str">
        <f>IF(B64="Printemps",_xlfn.DAYS(A64,' Elevage'!N$17),IF(B64="Eté",_xlfn.DAYS(A64,' Elevage'!N$18),IF(B64="Automne",_xlfn.DAYS(A64,' Elevage'!N$19),IF(B64="Hiver",_xlfn.DAYS(A64,' Elevage'!N$16),IF(B64="Stock",_xlfn.DAYS(A64,' Elevage'!N$12),"")))))</f>
        <v/>
      </c>
    </row>
    <row r="65" spans="1:11" x14ac:dyDescent="0.5">
      <c r="A65" s="280"/>
      <c r="B65" s="279"/>
      <c r="C65" s="279"/>
      <c r="D65" s="279"/>
      <c r="E65" s="279"/>
      <c r="F65" s="281"/>
      <c r="G65" s="281"/>
      <c r="H65" s="25" t="str">
        <f t="shared" si="4"/>
        <v/>
      </c>
      <c r="I65" s="25" t="str">
        <f t="shared" si="5"/>
        <v/>
      </c>
      <c r="J65" s="26" t="str">
        <f t="shared" si="6"/>
        <v/>
      </c>
      <c r="K65" s="252" t="str">
        <f>IF(B65="Printemps",_xlfn.DAYS(A65,' Elevage'!N$17),IF(B65="Eté",_xlfn.DAYS(A65,' Elevage'!N$18),IF(B65="Automne",_xlfn.DAYS(A65,' Elevage'!N$19),IF(B65="Hiver",_xlfn.DAYS(A65,' Elevage'!N$16),IF(B65="Stock",_xlfn.DAYS(A65,' Elevage'!N$12),"")))))</f>
        <v/>
      </c>
    </row>
    <row r="66" spans="1:11" x14ac:dyDescent="0.5">
      <c r="A66" s="280"/>
      <c r="B66" s="279"/>
      <c r="C66" s="279"/>
      <c r="D66" s="279"/>
      <c r="E66" s="279"/>
      <c r="F66" s="281"/>
      <c r="G66" s="281"/>
      <c r="H66" s="25" t="str">
        <f t="shared" si="4"/>
        <v/>
      </c>
      <c r="I66" s="25" t="str">
        <f t="shared" si="5"/>
        <v/>
      </c>
      <c r="J66" s="26" t="str">
        <f t="shared" si="6"/>
        <v/>
      </c>
      <c r="K66" s="252" t="str">
        <f>IF(B66="Printemps",_xlfn.DAYS(A66,' Elevage'!N$17),IF(B66="Eté",_xlfn.DAYS(A66,' Elevage'!N$18),IF(B66="Automne",_xlfn.DAYS(A66,' Elevage'!N$19),IF(B66="Hiver",_xlfn.DAYS(A66,' Elevage'!N$16),IF(B66="Stock",_xlfn.DAYS(A66,' Elevage'!N$12),"")))))</f>
        <v/>
      </c>
    </row>
    <row r="67" spans="1:11" x14ac:dyDescent="0.5">
      <c r="A67" s="280"/>
      <c r="B67" s="279"/>
      <c r="C67" s="279"/>
      <c r="D67" s="279"/>
      <c r="E67" s="279"/>
      <c r="F67" s="281"/>
      <c r="G67" s="281"/>
      <c r="H67" s="25" t="str">
        <f t="shared" si="4"/>
        <v/>
      </c>
      <c r="I67" s="25" t="str">
        <f t="shared" si="5"/>
        <v/>
      </c>
      <c r="J67" s="26" t="str">
        <f t="shared" si="6"/>
        <v/>
      </c>
      <c r="K67" s="252" t="str">
        <f>IF(B67="Printemps",_xlfn.DAYS(A67,' Elevage'!N$17),IF(B67="Eté",_xlfn.DAYS(A67,' Elevage'!N$18),IF(B67="Automne",_xlfn.DAYS(A67,' Elevage'!N$19),IF(B67="Hiver",_xlfn.DAYS(A67,' Elevage'!N$16),IF(B67="Stock",_xlfn.DAYS(A67,' Elevage'!N$12),"")))))</f>
        <v/>
      </c>
    </row>
    <row r="68" spans="1:11" x14ac:dyDescent="0.5">
      <c r="A68" s="280"/>
      <c r="B68" s="279"/>
      <c r="C68" s="279"/>
      <c r="D68" s="279"/>
      <c r="E68" s="279"/>
      <c r="F68" s="281"/>
      <c r="G68" s="281"/>
      <c r="H68" s="25" t="str">
        <f t="shared" si="4"/>
        <v/>
      </c>
      <c r="I68" s="25" t="str">
        <f t="shared" si="5"/>
        <v/>
      </c>
      <c r="J68" s="26" t="str">
        <f t="shared" si="6"/>
        <v/>
      </c>
      <c r="K68" s="252" t="str">
        <f>IF(B68="Printemps",_xlfn.DAYS(A68,' Elevage'!N$17),IF(B68="Eté",_xlfn.DAYS(A68,' Elevage'!N$18),IF(B68="Automne",_xlfn.DAYS(A68,' Elevage'!N$19),IF(B68="Hiver",_xlfn.DAYS(A68,' Elevage'!N$16),IF(B68="Stock",_xlfn.DAYS(A68,' Elevage'!N$12),"")))))</f>
        <v/>
      </c>
    </row>
    <row r="69" spans="1:11" x14ac:dyDescent="0.5">
      <c r="A69" s="280"/>
      <c r="B69" s="279"/>
      <c r="C69" s="279"/>
      <c r="D69" s="279"/>
      <c r="E69" s="279"/>
      <c r="F69" s="281"/>
      <c r="G69" s="281"/>
      <c r="H69" s="25" t="str">
        <f t="shared" si="4"/>
        <v/>
      </c>
      <c r="I69" s="25" t="str">
        <f t="shared" si="5"/>
        <v/>
      </c>
      <c r="J69" s="26" t="str">
        <f t="shared" si="6"/>
        <v/>
      </c>
      <c r="K69" s="252" t="str">
        <f>IF(B69="Printemps",_xlfn.DAYS(A69,' Elevage'!N$17),IF(B69="Eté",_xlfn.DAYS(A69,' Elevage'!N$18),IF(B69="Automne",_xlfn.DAYS(A69,' Elevage'!N$19),IF(B69="Hiver",_xlfn.DAYS(A69,' Elevage'!N$16),IF(B69="Stock",_xlfn.DAYS(A69,' Elevage'!N$12),"")))))</f>
        <v/>
      </c>
    </row>
    <row r="70" spans="1:11" x14ac:dyDescent="0.5">
      <c r="A70" s="280"/>
      <c r="B70" s="279"/>
      <c r="C70" s="279"/>
      <c r="D70" s="279"/>
      <c r="E70" s="279"/>
      <c r="F70" s="281"/>
      <c r="G70" s="281"/>
      <c r="H70" s="25" t="str">
        <f t="shared" si="4"/>
        <v/>
      </c>
      <c r="I70" s="25" t="str">
        <f t="shared" si="5"/>
        <v/>
      </c>
      <c r="J70" s="26" t="str">
        <f t="shared" si="6"/>
        <v/>
      </c>
      <c r="K70" s="252" t="str">
        <f>IF(B70="Printemps",_xlfn.DAYS(A70,' Elevage'!N$17),IF(B70="Eté",_xlfn.DAYS(A70,' Elevage'!N$18),IF(B70="Automne",_xlfn.DAYS(A70,' Elevage'!N$19),IF(B70="Hiver",_xlfn.DAYS(A70,' Elevage'!N$16),IF(B70="Stock",_xlfn.DAYS(A70,' Elevage'!N$12),"")))))</f>
        <v/>
      </c>
    </row>
    <row r="71" spans="1:11" x14ac:dyDescent="0.5">
      <c r="A71" s="280"/>
      <c r="B71" s="279"/>
      <c r="C71" s="279"/>
      <c r="D71" s="279"/>
      <c r="E71" s="279"/>
      <c r="F71" s="281"/>
      <c r="G71" s="281"/>
      <c r="H71" s="25" t="str">
        <f t="shared" si="4"/>
        <v/>
      </c>
      <c r="I71" s="25" t="str">
        <f t="shared" si="5"/>
        <v/>
      </c>
      <c r="J71" s="26" t="str">
        <f t="shared" si="6"/>
        <v/>
      </c>
      <c r="K71" s="252" t="str">
        <f>IF(B71="Printemps",_xlfn.DAYS(A71,' Elevage'!N$17),IF(B71="Eté",_xlfn.DAYS(A71,' Elevage'!N$18),IF(B71="Automne",_xlfn.DAYS(A71,' Elevage'!N$19),IF(B71="Hiver",_xlfn.DAYS(A71,' Elevage'!N$16),IF(B71="Stock",_xlfn.DAYS(A71,' Elevage'!N$12),"")))))</f>
        <v/>
      </c>
    </row>
    <row r="72" spans="1:11" x14ac:dyDescent="0.5">
      <c r="A72" s="280"/>
      <c r="B72" s="279"/>
      <c r="C72" s="279"/>
      <c r="D72" s="279"/>
      <c r="E72" s="279"/>
      <c r="F72" s="281"/>
      <c r="G72" s="281"/>
      <c r="H72" s="25" t="str">
        <f t="shared" ref="H72:H135" si="7">IF(F72=0,"",F72/E72)</f>
        <v/>
      </c>
      <c r="I72" s="25" t="str">
        <f t="shared" ref="I72:I135" si="8">IF(F72=0,"",G72/F72)</f>
        <v/>
      </c>
      <c r="J72" s="26" t="str">
        <f t="shared" ref="J72:J135" si="9">IF(E72=0,"",G72/E72)</f>
        <v/>
      </c>
      <c r="K72" s="252" t="str">
        <f>IF(B72="Printemps",_xlfn.DAYS(A72,' Elevage'!N$17),IF(B72="Eté",_xlfn.DAYS(A72,' Elevage'!N$18),IF(B72="Automne",_xlfn.DAYS(A72,' Elevage'!N$19),IF(B72="Hiver",_xlfn.DAYS(A72,' Elevage'!N$16),IF(B72="Stock",_xlfn.DAYS(A72,' Elevage'!N$12),"")))))</f>
        <v/>
      </c>
    </row>
    <row r="73" spans="1:11" x14ac:dyDescent="0.5">
      <c r="A73" s="280"/>
      <c r="B73" s="279"/>
      <c r="C73" s="279"/>
      <c r="D73" s="279"/>
      <c r="E73" s="279"/>
      <c r="F73" s="281"/>
      <c r="G73" s="281"/>
      <c r="H73" s="25" t="str">
        <f t="shared" si="7"/>
        <v/>
      </c>
      <c r="I73" s="25" t="str">
        <f t="shared" si="8"/>
        <v/>
      </c>
      <c r="J73" s="26" t="str">
        <f t="shared" si="9"/>
        <v/>
      </c>
      <c r="K73" s="252" t="str">
        <f>IF(B73="Printemps",_xlfn.DAYS(A73,' Elevage'!N$17),IF(B73="Eté",_xlfn.DAYS(A73,' Elevage'!N$18),IF(B73="Automne",_xlfn.DAYS(A73,' Elevage'!N$19),IF(B73="Hiver",_xlfn.DAYS(A73,' Elevage'!N$16),IF(B73="Stock",_xlfn.DAYS(A73,' Elevage'!N$12),"")))))</f>
        <v/>
      </c>
    </row>
    <row r="74" spans="1:11" x14ac:dyDescent="0.5">
      <c r="A74" s="280"/>
      <c r="B74" s="279"/>
      <c r="C74" s="279"/>
      <c r="D74" s="279"/>
      <c r="E74" s="279"/>
      <c r="F74" s="281"/>
      <c r="G74" s="281"/>
      <c r="H74" s="25" t="str">
        <f t="shared" si="7"/>
        <v/>
      </c>
      <c r="I74" s="25" t="str">
        <f t="shared" si="8"/>
        <v/>
      </c>
      <c r="J74" s="26" t="str">
        <f t="shared" si="9"/>
        <v/>
      </c>
      <c r="K74" s="252" t="str">
        <f>IF(B74="Printemps",_xlfn.DAYS(A74,' Elevage'!N$17),IF(B74="Eté",_xlfn.DAYS(A74,' Elevage'!N$18),IF(B74="Automne",_xlfn.DAYS(A74,' Elevage'!N$19),IF(B74="Hiver",_xlfn.DAYS(A74,' Elevage'!N$16),IF(B74="Stock",_xlfn.DAYS(A74,' Elevage'!N$12),"")))))</f>
        <v/>
      </c>
    </row>
    <row r="75" spans="1:11" x14ac:dyDescent="0.5">
      <c r="A75" s="280"/>
      <c r="B75" s="279"/>
      <c r="C75" s="279"/>
      <c r="D75" s="279"/>
      <c r="E75" s="279"/>
      <c r="F75" s="281"/>
      <c r="G75" s="281"/>
      <c r="H75" s="25" t="str">
        <f t="shared" si="7"/>
        <v/>
      </c>
      <c r="I75" s="25" t="str">
        <f t="shared" si="8"/>
        <v/>
      </c>
      <c r="J75" s="26" t="str">
        <f t="shared" si="9"/>
        <v/>
      </c>
      <c r="K75" s="252" t="str">
        <f>IF(B75="Printemps",_xlfn.DAYS(A75,' Elevage'!N$17),IF(B75="Eté",_xlfn.DAYS(A75,' Elevage'!N$18),IF(B75="Automne",_xlfn.DAYS(A75,' Elevage'!N$19),IF(B75="Hiver",_xlfn.DAYS(A75,' Elevage'!N$16),IF(B75="Stock",_xlfn.DAYS(A75,' Elevage'!N$12),"")))))</f>
        <v/>
      </c>
    </row>
    <row r="76" spans="1:11" x14ac:dyDescent="0.5">
      <c r="A76" s="280"/>
      <c r="B76" s="279"/>
      <c r="C76" s="279"/>
      <c r="D76" s="279"/>
      <c r="E76" s="279"/>
      <c r="F76" s="281"/>
      <c r="G76" s="281"/>
      <c r="H76" s="25" t="str">
        <f t="shared" si="7"/>
        <v/>
      </c>
      <c r="I76" s="25" t="str">
        <f t="shared" si="8"/>
        <v/>
      </c>
      <c r="J76" s="26" t="str">
        <f t="shared" si="9"/>
        <v/>
      </c>
      <c r="K76" s="252" t="str">
        <f>IF(B76="Printemps",_xlfn.DAYS(A76,' Elevage'!N$17),IF(B76="Eté",_xlfn.DAYS(A76,' Elevage'!N$18),IF(B76="Automne",_xlfn.DAYS(A76,' Elevage'!N$19),IF(B76="Hiver",_xlfn.DAYS(A76,' Elevage'!N$16),IF(B76="Stock",_xlfn.DAYS(A76,' Elevage'!N$12),"")))))</f>
        <v/>
      </c>
    </row>
    <row r="77" spans="1:11" x14ac:dyDescent="0.5">
      <c r="A77" s="280"/>
      <c r="B77" s="279"/>
      <c r="C77" s="279"/>
      <c r="D77" s="279"/>
      <c r="E77" s="279"/>
      <c r="F77" s="281"/>
      <c r="G77" s="281"/>
      <c r="H77" s="25" t="str">
        <f t="shared" si="7"/>
        <v/>
      </c>
      <c r="I77" s="25" t="str">
        <f t="shared" si="8"/>
        <v/>
      </c>
      <c r="J77" s="26" t="str">
        <f t="shared" si="9"/>
        <v/>
      </c>
      <c r="K77" s="252" t="str">
        <f>IF(B77="Printemps",_xlfn.DAYS(A77,' Elevage'!N$17),IF(B77="Eté",_xlfn.DAYS(A77,' Elevage'!N$18),IF(B77="Automne",_xlfn.DAYS(A77,' Elevage'!N$19),IF(B77="Hiver",_xlfn.DAYS(A77,' Elevage'!N$16),IF(B77="Stock",_xlfn.DAYS(A77,' Elevage'!N$12),"")))))</f>
        <v/>
      </c>
    </row>
    <row r="78" spans="1:11" x14ac:dyDescent="0.5">
      <c r="A78" s="280"/>
      <c r="B78" s="279"/>
      <c r="C78" s="279"/>
      <c r="D78" s="279"/>
      <c r="E78" s="279"/>
      <c r="F78" s="281"/>
      <c r="G78" s="281"/>
      <c r="H78" s="25" t="str">
        <f t="shared" si="7"/>
        <v/>
      </c>
      <c r="I78" s="25" t="str">
        <f t="shared" si="8"/>
        <v/>
      </c>
      <c r="J78" s="26" t="str">
        <f t="shared" si="9"/>
        <v/>
      </c>
      <c r="K78" s="252" t="str">
        <f>IF(B78="Printemps",_xlfn.DAYS(A78,' Elevage'!N$17),IF(B78="Eté",_xlfn.DAYS(A78,' Elevage'!N$18),IF(B78="Automne",_xlfn.DAYS(A78,' Elevage'!N$19),IF(B78="Hiver",_xlfn.DAYS(A78,' Elevage'!N$16),IF(B78="Stock",_xlfn.DAYS(A78,' Elevage'!N$12),"")))))</f>
        <v/>
      </c>
    </row>
    <row r="79" spans="1:11" x14ac:dyDescent="0.5">
      <c r="A79" s="280"/>
      <c r="B79" s="279"/>
      <c r="C79" s="279"/>
      <c r="D79" s="279"/>
      <c r="E79" s="279"/>
      <c r="F79" s="281"/>
      <c r="G79" s="281"/>
      <c r="H79" s="25" t="str">
        <f t="shared" si="7"/>
        <v/>
      </c>
      <c r="I79" s="25" t="str">
        <f t="shared" si="8"/>
        <v/>
      </c>
      <c r="J79" s="26" t="str">
        <f t="shared" si="9"/>
        <v/>
      </c>
      <c r="K79" s="252" t="str">
        <f>IF(B79="Printemps",_xlfn.DAYS(A79,' Elevage'!N$17),IF(B79="Eté",_xlfn.DAYS(A79,' Elevage'!N$18),IF(B79="Automne",_xlfn.DAYS(A79,' Elevage'!N$19),IF(B79="Hiver",_xlfn.DAYS(A79,' Elevage'!N$16),IF(B79="Stock",_xlfn.DAYS(A79,' Elevage'!N$12),"")))))</f>
        <v/>
      </c>
    </row>
    <row r="80" spans="1:11" x14ac:dyDescent="0.5">
      <c r="A80" s="280"/>
      <c r="B80" s="279"/>
      <c r="C80" s="279"/>
      <c r="D80" s="279"/>
      <c r="E80" s="279"/>
      <c r="F80" s="281"/>
      <c r="G80" s="281"/>
      <c r="H80" s="25" t="str">
        <f t="shared" si="7"/>
        <v/>
      </c>
      <c r="I80" s="25" t="str">
        <f t="shared" si="8"/>
        <v/>
      </c>
      <c r="J80" s="26" t="str">
        <f t="shared" si="9"/>
        <v/>
      </c>
      <c r="K80" s="252" t="str">
        <f>IF(B80="Printemps",_xlfn.DAYS(A80,' Elevage'!N$17),IF(B80="Eté",_xlfn.DAYS(A80,' Elevage'!N$18),IF(B80="Automne",_xlfn.DAYS(A80,' Elevage'!N$19),IF(B80="Hiver",_xlfn.DAYS(A80,' Elevage'!N$16),IF(B80="Stock",_xlfn.DAYS(A80,' Elevage'!N$12),"")))))</f>
        <v/>
      </c>
    </row>
    <row r="81" spans="1:11" x14ac:dyDescent="0.5">
      <c r="A81" s="280"/>
      <c r="B81" s="279"/>
      <c r="C81" s="279"/>
      <c r="D81" s="279"/>
      <c r="E81" s="279"/>
      <c r="F81" s="281"/>
      <c r="G81" s="281"/>
      <c r="H81" s="25" t="str">
        <f t="shared" si="7"/>
        <v/>
      </c>
      <c r="I81" s="25" t="str">
        <f t="shared" si="8"/>
        <v/>
      </c>
      <c r="J81" s="26" t="str">
        <f t="shared" si="9"/>
        <v/>
      </c>
      <c r="K81" s="252" t="str">
        <f>IF(B81="Printemps",_xlfn.DAYS(A81,' Elevage'!N$17),IF(B81="Eté",_xlfn.DAYS(A81,' Elevage'!N$18),IF(B81="Automne",_xlfn.DAYS(A81,' Elevage'!N$19),IF(B81="Hiver",_xlfn.DAYS(A81,' Elevage'!N$16),IF(B81="Stock",_xlfn.DAYS(A81,' Elevage'!N$12),"")))))</f>
        <v/>
      </c>
    </row>
    <row r="82" spans="1:11" x14ac:dyDescent="0.5">
      <c r="A82" s="280"/>
      <c r="B82" s="279"/>
      <c r="C82" s="279"/>
      <c r="D82" s="279"/>
      <c r="E82" s="279"/>
      <c r="F82" s="281"/>
      <c r="G82" s="281"/>
      <c r="H82" s="25" t="str">
        <f t="shared" si="7"/>
        <v/>
      </c>
      <c r="I82" s="25" t="str">
        <f t="shared" si="8"/>
        <v/>
      </c>
      <c r="J82" s="26" t="str">
        <f t="shared" si="9"/>
        <v/>
      </c>
      <c r="K82" s="252" t="str">
        <f>IF(B82="Printemps",_xlfn.DAYS(A82,' Elevage'!N$17),IF(B82="Eté",_xlfn.DAYS(A82,' Elevage'!N$18),IF(B82="Automne",_xlfn.DAYS(A82,' Elevage'!N$19),IF(B82="Hiver",_xlfn.DAYS(A82,' Elevage'!N$16),IF(B82="Stock",_xlfn.DAYS(A82,' Elevage'!N$12),"")))))</f>
        <v/>
      </c>
    </row>
    <row r="83" spans="1:11" x14ac:dyDescent="0.5">
      <c r="A83" s="280"/>
      <c r="B83" s="279"/>
      <c r="C83" s="279"/>
      <c r="D83" s="279"/>
      <c r="E83" s="279"/>
      <c r="F83" s="281"/>
      <c r="G83" s="281"/>
      <c r="H83" s="25" t="str">
        <f t="shared" si="7"/>
        <v/>
      </c>
      <c r="I83" s="25" t="str">
        <f t="shared" si="8"/>
        <v/>
      </c>
      <c r="J83" s="26" t="str">
        <f t="shared" si="9"/>
        <v/>
      </c>
      <c r="K83" s="252" t="str">
        <f>IF(B83="Printemps",_xlfn.DAYS(A83,' Elevage'!N$17),IF(B83="Eté",_xlfn.DAYS(A83,' Elevage'!N$18),IF(B83="Automne",_xlfn.DAYS(A83,' Elevage'!N$19),IF(B83="Hiver",_xlfn.DAYS(A83,' Elevage'!N$16),IF(B83="Stock",_xlfn.DAYS(A83,' Elevage'!N$12),"")))))</f>
        <v/>
      </c>
    </row>
    <row r="84" spans="1:11" x14ac:dyDescent="0.5">
      <c r="A84" s="280"/>
      <c r="B84" s="279"/>
      <c r="C84" s="279"/>
      <c r="D84" s="279"/>
      <c r="E84" s="279"/>
      <c r="F84" s="281"/>
      <c r="G84" s="281"/>
      <c r="H84" s="25" t="str">
        <f t="shared" si="7"/>
        <v/>
      </c>
      <c r="I84" s="25" t="str">
        <f t="shared" si="8"/>
        <v/>
      </c>
      <c r="J84" s="26" t="str">
        <f t="shared" si="9"/>
        <v/>
      </c>
      <c r="K84" s="252" t="str">
        <f>IF(B84="Printemps",_xlfn.DAYS(A84,' Elevage'!N$17),IF(B84="Eté",_xlfn.DAYS(A84,' Elevage'!N$18),IF(B84="Automne",_xlfn.DAYS(A84,' Elevage'!N$19),IF(B84="Hiver",_xlfn.DAYS(A84,' Elevage'!N$16),IF(B84="Stock",_xlfn.DAYS(A84,' Elevage'!N$12),"")))))</f>
        <v/>
      </c>
    </row>
    <row r="85" spans="1:11" x14ac:dyDescent="0.5">
      <c r="A85" s="280"/>
      <c r="B85" s="279"/>
      <c r="C85" s="279"/>
      <c r="D85" s="279"/>
      <c r="E85" s="279"/>
      <c r="F85" s="281"/>
      <c r="G85" s="281"/>
      <c r="H85" s="25" t="str">
        <f t="shared" si="7"/>
        <v/>
      </c>
      <c r="I85" s="25" t="str">
        <f t="shared" si="8"/>
        <v/>
      </c>
      <c r="J85" s="26" t="str">
        <f t="shared" si="9"/>
        <v/>
      </c>
      <c r="K85" s="252" t="str">
        <f>IF(B85="Printemps",_xlfn.DAYS(A85,' Elevage'!N$17),IF(B85="Eté",_xlfn.DAYS(A85,' Elevage'!N$18),IF(B85="Automne",_xlfn.DAYS(A85,' Elevage'!N$19),IF(B85="Hiver",_xlfn.DAYS(A85,' Elevage'!N$16),IF(B85="Stock",_xlfn.DAYS(A85,' Elevage'!N$12),"")))))</f>
        <v/>
      </c>
    </row>
    <row r="86" spans="1:11" x14ac:dyDescent="0.5">
      <c r="A86" s="280"/>
      <c r="B86" s="279"/>
      <c r="C86" s="279"/>
      <c r="D86" s="279"/>
      <c r="E86" s="279"/>
      <c r="F86" s="281"/>
      <c r="G86" s="281"/>
      <c r="H86" s="25" t="str">
        <f t="shared" si="7"/>
        <v/>
      </c>
      <c r="I86" s="25" t="str">
        <f t="shared" si="8"/>
        <v/>
      </c>
      <c r="J86" s="26" t="str">
        <f t="shared" si="9"/>
        <v/>
      </c>
      <c r="K86" s="252" t="str">
        <f>IF(B86="Printemps",_xlfn.DAYS(A86,' Elevage'!N$17),IF(B86="Eté",_xlfn.DAYS(A86,' Elevage'!N$18),IF(B86="Automne",_xlfn.DAYS(A86,' Elevage'!N$19),IF(B86="Hiver",_xlfn.DAYS(A86,' Elevage'!N$16),IF(B86="Stock",_xlfn.DAYS(A86,' Elevage'!N$12),"")))))</f>
        <v/>
      </c>
    </row>
    <row r="87" spans="1:11" x14ac:dyDescent="0.5">
      <c r="A87" s="280"/>
      <c r="B87" s="279"/>
      <c r="C87" s="279"/>
      <c r="D87" s="279"/>
      <c r="E87" s="279"/>
      <c r="F87" s="281"/>
      <c r="G87" s="281"/>
      <c r="H87" s="25" t="str">
        <f t="shared" si="7"/>
        <v/>
      </c>
      <c r="I87" s="25" t="str">
        <f t="shared" si="8"/>
        <v/>
      </c>
      <c r="J87" s="26" t="str">
        <f t="shared" si="9"/>
        <v/>
      </c>
      <c r="K87" s="252" t="str">
        <f>IF(B87="Printemps",_xlfn.DAYS(A87,' Elevage'!N$17),IF(B87="Eté",_xlfn.DAYS(A87,' Elevage'!N$18),IF(B87="Automne",_xlfn.DAYS(A87,' Elevage'!N$19),IF(B87="Hiver",_xlfn.DAYS(A87,' Elevage'!N$16),IF(B87="Stock",_xlfn.DAYS(A87,' Elevage'!N$12),"")))))</f>
        <v/>
      </c>
    </row>
    <row r="88" spans="1:11" x14ac:dyDescent="0.5">
      <c r="A88" s="280"/>
      <c r="B88" s="279"/>
      <c r="C88" s="279"/>
      <c r="D88" s="279"/>
      <c r="E88" s="279"/>
      <c r="F88" s="281"/>
      <c r="G88" s="281"/>
      <c r="H88" s="25" t="str">
        <f t="shared" si="7"/>
        <v/>
      </c>
      <c r="I88" s="25" t="str">
        <f t="shared" si="8"/>
        <v/>
      </c>
      <c r="J88" s="26" t="str">
        <f t="shared" si="9"/>
        <v/>
      </c>
      <c r="K88" s="252" t="str">
        <f>IF(B88="Printemps",_xlfn.DAYS(A88,' Elevage'!N$17),IF(B88="Eté",_xlfn.DAYS(A88,' Elevage'!N$18),IF(B88="Automne",_xlfn.DAYS(A88,' Elevage'!N$19),IF(B88="Hiver",_xlfn.DAYS(A88,' Elevage'!N$16),IF(B88="Stock",_xlfn.DAYS(A88,' Elevage'!N$12),"")))))</f>
        <v/>
      </c>
    </row>
    <row r="89" spans="1:11" x14ac:dyDescent="0.5">
      <c r="A89" s="280"/>
      <c r="B89" s="279"/>
      <c r="C89" s="279"/>
      <c r="D89" s="279"/>
      <c r="E89" s="279"/>
      <c r="F89" s="281"/>
      <c r="G89" s="281"/>
      <c r="H89" s="25" t="str">
        <f t="shared" si="7"/>
        <v/>
      </c>
      <c r="I89" s="25" t="str">
        <f t="shared" si="8"/>
        <v/>
      </c>
      <c r="J89" s="26" t="str">
        <f t="shared" si="9"/>
        <v/>
      </c>
      <c r="K89" s="252" t="str">
        <f>IF(B89="Printemps",_xlfn.DAYS(A89,' Elevage'!N$17),IF(B89="Eté",_xlfn.DAYS(A89,' Elevage'!N$18),IF(B89="Automne",_xlfn.DAYS(A89,' Elevage'!N$19),IF(B89="Hiver",_xlfn.DAYS(A89,' Elevage'!N$16),IF(B89="Stock",_xlfn.DAYS(A89,' Elevage'!N$12),"")))))</f>
        <v/>
      </c>
    </row>
    <row r="90" spans="1:11" x14ac:dyDescent="0.5">
      <c r="A90" s="280"/>
      <c r="B90" s="279"/>
      <c r="C90" s="279"/>
      <c r="D90" s="279"/>
      <c r="E90" s="279"/>
      <c r="F90" s="281"/>
      <c r="G90" s="281"/>
      <c r="H90" s="25" t="str">
        <f t="shared" si="7"/>
        <v/>
      </c>
      <c r="I90" s="25" t="str">
        <f t="shared" si="8"/>
        <v/>
      </c>
      <c r="J90" s="26" t="str">
        <f t="shared" si="9"/>
        <v/>
      </c>
      <c r="K90" s="252" t="str">
        <f>IF(B90="Printemps",_xlfn.DAYS(A90,' Elevage'!N$17),IF(B90="Eté",_xlfn.DAYS(A90,' Elevage'!N$18),IF(B90="Automne",_xlfn.DAYS(A90,' Elevage'!N$19),IF(B90="Hiver",_xlfn.DAYS(A90,' Elevage'!N$16),IF(B90="Stock",_xlfn.DAYS(A90,' Elevage'!N$12),"")))))</f>
        <v/>
      </c>
    </row>
    <row r="91" spans="1:11" x14ac:dyDescent="0.5">
      <c r="A91" s="280"/>
      <c r="B91" s="279"/>
      <c r="C91" s="279"/>
      <c r="D91" s="279"/>
      <c r="E91" s="279"/>
      <c r="F91" s="281"/>
      <c r="G91" s="281"/>
      <c r="H91" s="25" t="str">
        <f t="shared" si="7"/>
        <v/>
      </c>
      <c r="I91" s="25" t="str">
        <f t="shared" si="8"/>
        <v/>
      </c>
      <c r="J91" s="26" t="str">
        <f t="shared" si="9"/>
        <v/>
      </c>
      <c r="K91" s="252" t="str">
        <f>IF(B91="Printemps",_xlfn.DAYS(A91,' Elevage'!N$17),IF(B91="Eté",_xlfn.DAYS(A91,' Elevage'!N$18),IF(B91="Automne",_xlfn.DAYS(A91,' Elevage'!N$19),IF(B91="Hiver",_xlfn.DAYS(A91,' Elevage'!N$16),IF(B91="Stock",_xlfn.DAYS(A91,' Elevage'!N$12),"")))))</f>
        <v/>
      </c>
    </row>
    <row r="92" spans="1:11" x14ac:dyDescent="0.5">
      <c r="A92" s="280"/>
      <c r="B92" s="279"/>
      <c r="C92" s="279"/>
      <c r="D92" s="279"/>
      <c r="E92" s="279"/>
      <c r="F92" s="281"/>
      <c r="G92" s="281"/>
      <c r="H92" s="25" t="str">
        <f t="shared" si="7"/>
        <v/>
      </c>
      <c r="I92" s="25" t="str">
        <f t="shared" si="8"/>
        <v/>
      </c>
      <c r="J92" s="26" t="str">
        <f t="shared" si="9"/>
        <v/>
      </c>
      <c r="K92" s="252" t="str">
        <f>IF(B92="Printemps",_xlfn.DAYS(A92,' Elevage'!N$17),IF(B92="Eté",_xlfn.DAYS(A92,' Elevage'!N$18),IF(B92="Automne",_xlfn.DAYS(A92,' Elevage'!N$19),IF(B92="Hiver",_xlfn.DAYS(A92,' Elevage'!N$16),IF(B92="Stock",_xlfn.DAYS(A92,' Elevage'!N$12),"")))))</f>
        <v/>
      </c>
    </row>
    <row r="93" spans="1:11" x14ac:dyDescent="0.5">
      <c r="A93" s="280"/>
      <c r="B93" s="279"/>
      <c r="C93" s="279"/>
      <c r="D93" s="279"/>
      <c r="E93" s="279"/>
      <c r="F93" s="281"/>
      <c r="G93" s="281"/>
      <c r="H93" s="25" t="str">
        <f t="shared" si="7"/>
        <v/>
      </c>
      <c r="I93" s="25" t="str">
        <f t="shared" si="8"/>
        <v/>
      </c>
      <c r="J93" s="26" t="str">
        <f t="shared" si="9"/>
        <v/>
      </c>
      <c r="K93" s="252" t="str">
        <f>IF(B93="Printemps",_xlfn.DAYS(A93,' Elevage'!N$17),IF(B93="Eté",_xlfn.DAYS(A93,' Elevage'!N$18),IF(B93="Automne",_xlfn.DAYS(A93,' Elevage'!N$19),IF(B93="Hiver",_xlfn.DAYS(A93,' Elevage'!N$16),IF(B93="Stock",_xlfn.DAYS(A93,' Elevage'!N$12),"")))))</f>
        <v/>
      </c>
    </row>
    <row r="94" spans="1:11" x14ac:dyDescent="0.5">
      <c r="A94" s="280"/>
      <c r="B94" s="279"/>
      <c r="C94" s="279"/>
      <c r="D94" s="279"/>
      <c r="E94" s="279"/>
      <c r="F94" s="281"/>
      <c r="G94" s="281"/>
      <c r="H94" s="25" t="str">
        <f t="shared" si="7"/>
        <v/>
      </c>
      <c r="I94" s="25" t="str">
        <f t="shared" si="8"/>
        <v/>
      </c>
      <c r="J94" s="26" t="str">
        <f t="shared" si="9"/>
        <v/>
      </c>
      <c r="K94" s="252" t="str">
        <f>IF(B94="Printemps",_xlfn.DAYS(A94,' Elevage'!N$17),IF(B94="Eté",_xlfn.DAYS(A94,' Elevage'!N$18),IF(B94="Automne",_xlfn.DAYS(A94,' Elevage'!N$19),IF(B94="Hiver",_xlfn.DAYS(A94,' Elevage'!N$16),IF(B94="Stock",_xlfn.DAYS(A94,' Elevage'!N$12),"")))))</f>
        <v/>
      </c>
    </row>
    <row r="95" spans="1:11" x14ac:dyDescent="0.5">
      <c r="A95" s="280"/>
      <c r="B95" s="279"/>
      <c r="C95" s="279"/>
      <c r="D95" s="279"/>
      <c r="E95" s="279"/>
      <c r="F95" s="281"/>
      <c r="G95" s="281"/>
      <c r="H95" s="25" t="str">
        <f t="shared" si="7"/>
        <v/>
      </c>
      <c r="I95" s="25" t="str">
        <f t="shared" si="8"/>
        <v/>
      </c>
      <c r="J95" s="26" t="str">
        <f t="shared" si="9"/>
        <v/>
      </c>
      <c r="K95" s="252" t="str">
        <f>IF(B95="Printemps",_xlfn.DAYS(A95,' Elevage'!N$17),IF(B95="Eté",_xlfn.DAYS(A95,' Elevage'!N$18),IF(B95="Automne",_xlfn.DAYS(A95,' Elevage'!N$19),IF(B95="Hiver",_xlfn.DAYS(A95,' Elevage'!N$16),IF(B95="Stock",_xlfn.DAYS(A95,' Elevage'!N$12),"")))))</f>
        <v/>
      </c>
    </row>
    <row r="96" spans="1:11" x14ac:dyDescent="0.5">
      <c r="A96" s="280"/>
      <c r="B96" s="279"/>
      <c r="C96" s="279"/>
      <c r="D96" s="279"/>
      <c r="E96" s="279"/>
      <c r="F96" s="281"/>
      <c r="G96" s="281"/>
      <c r="H96" s="25" t="str">
        <f t="shared" si="7"/>
        <v/>
      </c>
      <c r="I96" s="25" t="str">
        <f t="shared" si="8"/>
        <v/>
      </c>
      <c r="J96" s="26" t="str">
        <f t="shared" si="9"/>
        <v/>
      </c>
      <c r="K96" s="252" t="str">
        <f>IF(B96="Printemps",_xlfn.DAYS(A96,' Elevage'!N$17),IF(B96="Eté",_xlfn.DAYS(A96,' Elevage'!N$18),IF(B96="Automne",_xlfn.DAYS(A96,' Elevage'!N$19),IF(B96="Hiver",_xlfn.DAYS(A96,' Elevage'!N$16),IF(B96="Stock",_xlfn.DAYS(A96,' Elevage'!N$12),"")))))</f>
        <v/>
      </c>
    </row>
    <row r="97" spans="1:11" x14ac:dyDescent="0.5">
      <c r="A97" s="280"/>
      <c r="B97" s="279"/>
      <c r="C97" s="279"/>
      <c r="D97" s="279"/>
      <c r="E97" s="279"/>
      <c r="F97" s="281"/>
      <c r="G97" s="281"/>
      <c r="H97" s="25" t="str">
        <f t="shared" si="7"/>
        <v/>
      </c>
      <c r="I97" s="25" t="str">
        <f t="shared" si="8"/>
        <v/>
      </c>
      <c r="J97" s="26" t="str">
        <f t="shared" si="9"/>
        <v/>
      </c>
      <c r="K97" s="252" t="str">
        <f>IF(B97="Printemps",_xlfn.DAYS(A97,' Elevage'!N$17),IF(B97="Eté",_xlfn.DAYS(A97,' Elevage'!N$18),IF(B97="Automne",_xlfn.DAYS(A97,' Elevage'!N$19),IF(B97="Hiver",_xlfn.DAYS(A97,' Elevage'!N$16),IF(B97="Stock",_xlfn.DAYS(A97,' Elevage'!N$12),"")))))</f>
        <v/>
      </c>
    </row>
    <row r="98" spans="1:11" x14ac:dyDescent="0.5">
      <c r="A98" s="280"/>
      <c r="B98" s="279"/>
      <c r="C98" s="279"/>
      <c r="D98" s="279"/>
      <c r="E98" s="279"/>
      <c r="F98" s="281"/>
      <c r="G98" s="281"/>
      <c r="H98" s="25" t="str">
        <f t="shared" si="7"/>
        <v/>
      </c>
      <c r="I98" s="25" t="str">
        <f t="shared" si="8"/>
        <v/>
      </c>
      <c r="J98" s="26" t="str">
        <f t="shared" si="9"/>
        <v/>
      </c>
      <c r="K98" s="252" t="str">
        <f>IF(B98="Printemps",_xlfn.DAYS(A98,' Elevage'!N$17),IF(B98="Eté",_xlfn.DAYS(A98,' Elevage'!N$18),IF(B98="Automne",_xlfn.DAYS(A98,' Elevage'!N$19),IF(B98="Hiver",_xlfn.DAYS(A98,' Elevage'!N$16),IF(B98="Stock",_xlfn.DAYS(A98,' Elevage'!N$12),"")))))</f>
        <v/>
      </c>
    </row>
    <row r="99" spans="1:11" x14ac:dyDescent="0.5">
      <c r="A99" s="280"/>
      <c r="B99" s="279"/>
      <c r="C99" s="279"/>
      <c r="D99" s="279"/>
      <c r="E99" s="279"/>
      <c r="F99" s="281"/>
      <c r="G99" s="281"/>
      <c r="H99" s="25" t="str">
        <f t="shared" si="7"/>
        <v/>
      </c>
      <c r="I99" s="25" t="str">
        <f t="shared" si="8"/>
        <v/>
      </c>
      <c r="J99" s="26" t="str">
        <f t="shared" si="9"/>
        <v/>
      </c>
      <c r="K99" s="252" t="str">
        <f>IF(B99="Printemps",_xlfn.DAYS(A99,' Elevage'!N$17),IF(B99="Eté",_xlfn.DAYS(A99,' Elevage'!N$18),IF(B99="Automne",_xlfn.DAYS(A99,' Elevage'!N$19),IF(B99="Hiver",_xlfn.DAYS(A99,' Elevage'!N$16),IF(B99="Stock",_xlfn.DAYS(A99,' Elevage'!N$12),"")))))</f>
        <v/>
      </c>
    </row>
    <row r="100" spans="1:11" x14ac:dyDescent="0.5">
      <c r="A100" s="280"/>
      <c r="B100" s="279"/>
      <c r="C100" s="279"/>
      <c r="D100" s="279"/>
      <c r="E100" s="279"/>
      <c r="F100" s="281"/>
      <c r="G100" s="281"/>
      <c r="H100" s="25" t="str">
        <f t="shared" si="7"/>
        <v/>
      </c>
      <c r="I100" s="25" t="str">
        <f t="shared" si="8"/>
        <v/>
      </c>
      <c r="J100" s="26" t="str">
        <f t="shared" si="9"/>
        <v/>
      </c>
      <c r="K100" s="252" t="str">
        <f>IF(B100="Printemps",_xlfn.DAYS(A100,' Elevage'!N$17),IF(B100="Eté",_xlfn.DAYS(A100,' Elevage'!N$18),IF(B100="Automne",_xlfn.DAYS(A100,' Elevage'!N$19),IF(B100="Hiver",_xlfn.DAYS(A100,' Elevage'!N$16),IF(B100="Stock",_xlfn.DAYS(A100,' Elevage'!N$12),"")))))</f>
        <v/>
      </c>
    </row>
    <row r="101" spans="1:11" x14ac:dyDescent="0.5">
      <c r="A101" s="280"/>
      <c r="B101" s="279"/>
      <c r="C101" s="279"/>
      <c r="D101" s="279"/>
      <c r="E101" s="279"/>
      <c r="F101" s="281"/>
      <c r="G101" s="281"/>
      <c r="H101" s="25" t="str">
        <f t="shared" si="7"/>
        <v/>
      </c>
      <c r="I101" s="25" t="str">
        <f t="shared" si="8"/>
        <v/>
      </c>
      <c r="J101" s="26" t="str">
        <f t="shared" si="9"/>
        <v/>
      </c>
      <c r="K101" s="252" t="str">
        <f>IF(B101="Printemps",_xlfn.DAYS(A101,' Elevage'!N$17),IF(B101="Eté",_xlfn.DAYS(A101,' Elevage'!N$18),IF(B101="Automne",_xlfn.DAYS(A101,' Elevage'!N$19),IF(B101="Hiver",_xlfn.DAYS(A101,' Elevage'!N$16),IF(B101="Stock",_xlfn.DAYS(A101,' Elevage'!N$12),"")))))</f>
        <v/>
      </c>
    </row>
    <row r="102" spans="1:11" x14ac:dyDescent="0.5">
      <c r="A102" s="280"/>
      <c r="B102" s="279"/>
      <c r="C102" s="279"/>
      <c r="D102" s="279"/>
      <c r="E102" s="279"/>
      <c r="F102" s="281"/>
      <c r="G102" s="281"/>
      <c r="H102" s="25" t="str">
        <f t="shared" si="7"/>
        <v/>
      </c>
      <c r="I102" s="25" t="str">
        <f t="shared" si="8"/>
        <v/>
      </c>
      <c r="J102" s="26" t="str">
        <f t="shared" si="9"/>
        <v/>
      </c>
      <c r="K102" s="252" t="str">
        <f>IF(B102="Printemps",_xlfn.DAYS(A102,' Elevage'!N$17),IF(B102="Eté",_xlfn.DAYS(A102,' Elevage'!N$18),IF(B102="Automne",_xlfn.DAYS(A102,' Elevage'!N$19),IF(B102="Hiver",_xlfn.DAYS(A102,' Elevage'!N$16),IF(B102="Stock",_xlfn.DAYS(A102,' Elevage'!N$12),"")))))</f>
        <v/>
      </c>
    </row>
    <row r="103" spans="1:11" x14ac:dyDescent="0.5">
      <c r="A103" s="280"/>
      <c r="B103" s="279"/>
      <c r="C103" s="279"/>
      <c r="D103" s="279"/>
      <c r="E103" s="279"/>
      <c r="F103" s="281"/>
      <c r="G103" s="281"/>
      <c r="H103" s="25" t="str">
        <f t="shared" si="7"/>
        <v/>
      </c>
      <c r="I103" s="25" t="str">
        <f t="shared" si="8"/>
        <v/>
      </c>
      <c r="J103" s="26" t="str">
        <f t="shared" si="9"/>
        <v/>
      </c>
      <c r="K103" s="252" t="str">
        <f>IF(B103="Printemps",_xlfn.DAYS(A103,' Elevage'!N$17),IF(B103="Eté",_xlfn.DAYS(A103,' Elevage'!N$18),IF(B103="Automne",_xlfn.DAYS(A103,' Elevage'!N$19),IF(B103="Hiver",_xlfn.DAYS(A103,' Elevage'!N$16),IF(B103="Stock",_xlfn.DAYS(A103,' Elevage'!N$12),"")))))</f>
        <v/>
      </c>
    </row>
    <row r="104" spans="1:11" x14ac:dyDescent="0.5">
      <c r="A104" s="280"/>
      <c r="B104" s="279"/>
      <c r="C104" s="279"/>
      <c r="D104" s="279"/>
      <c r="E104" s="279"/>
      <c r="F104" s="281"/>
      <c r="G104" s="281"/>
      <c r="H104" s="25" t="str">
        <f t="shared" si="7"/>
        <v/>
      </c>
      <c r="I104" s="25" t="str">
        <f t="shared" si="8"/>
        <v/>
      </c>
      <c r="J104" s="26" t="str">
        <f t="shared" si="9"/>
        <v/>
      </c>
      <c r="K104" s="252" t="str">
        <f>IF(B104="Printemps",_xlfn.DAYS(A104,' Elevage'!N$17),IF(B104="Eté",_xlfn.DAYS(A104,' Elevage'!N$18),IF(B104="Automne",_xlfn.DAYS(A104,' Elevage'!N$19),IF(B104="Hiver",_xlfn.DAYS(A104,' Elevage'!N$16),IF(B104="Stock",_xlfn.DAYS(A104,' Elevage'!N$12),"")))))</f>
        <v/>
      </c>
    </row>
    <row r="105" spans="1:11" x14ac:dyDescent="0.5">
      <c r="A105" s="280"/>
      <c r="B105" s="279"/>
      <c r="C105" s="279"/>
      <c r="D105" s="279"/>
      <c r="E105" s="279"/>
      <c r="F105" s="281"/>
      <c r="G105" s="281"/>
      <c r="H105" s="25" t="str">
        <f t="shared" si="7"/>
        <v/>
      </c>
      <c r="I105" s="25" t="str">
        <f t="shared" si="8"/>
        <v/>
      </c>
      <c r="J105" s="26" t="str">
        <f t="shared" si="9"/>
        <v/>
      </c>
      <c r="K105" s="252" t="str">
        <f>IF(B105="Printemps",_xlfn.DAYS(A105,' Elevage'!N$17),IF(B105="Eté",_xlfn.DAYS(A105,' Elevage'!N$18),IF(B105="Automne",_xlfn.DAYS(A105,' Elevage'!N$19),IF(B105="Hiver",_xlfn.DAYS(A105,' Elevage'!N$16),IF(B105="Stock",_xlfn.DAYS(A105,' Elevage'!N$12),"")))))</f>
        <v/>
      </c>
    </row>
    <row r="106" spans="1:11" x14ac:dyDescent="0.5">
      <c r="A106" s="280"/>
      <c r="B106" s="279"/>
      <c r="C106" s="279"/>
      <c r="D106" s="279"/>
      <c r="E106" s="279"/>
      <c r="F106" s="281"/>
      <c r="G106" s="281"/>
      <c r="H106" s="25" t="str">
        <f t="shared" si="7"/>
        <v/>
      </c>
      <c r="I106" s="25" t="str">
        <f t="shared" si="8"/>
        <v/>
      </c>
      <c r="J106" s="26" t="str">
        <f t="shared" si="9"/>
        <v/>
      </c>
      <c r="K106" s="252" t="str">
        <f>IF(B106="Printemps",_xlfn.DAYS(A106,' Elevage'!N$17),IF(B106="Eté",_xlfn.DAYS(A106,' Elevage'!N$18),IF(B106="Automne",_xlfn.DAYS(A106,' Elevage'!N$19),IF(B106="Hiver",_xlfn.DAYS(A106,' Elevage'!N$16),IF(B106="Stock",_xlfn.DAYS(A106,' Elevage'!N$12),"")))))</f>
        <v/>
      </c>
    </row>
    <row r="107" spans="1:11" x14ac:dyDescent="0.5">
      <c r="A107" s="280"/>
      <c r="B107" s="279"/>
      <c r="C107" s="279"/>
      <c r="D107" s="279"/>
      <c r="E107" s="279"/>
      <c r="F107" s="281"/>
      <c r="G107" s="281"/>
      <c r="H107" s="25" t="str">
        <f t="shared" si="7"/>
        <v/>
      </c>
      <c r="I107" s="25" t="str">
        <f t="shared" si="8"/>
        <v/>
      </c>
      <c r="J107" s="26" t="str">
        <f t="shared" si="9"/>
        <v/>
      </c>
      <c r="K107" s="252" t="str">
        <f>IF(B107="Printemps",_xlfn.DAYS(A107,' Elevage'!N$17),IF(B107="Eté",_xlfn.DAYS(A107,' Elevage'!N$18),IF(B107="Automne",_xlfn.DAYS(A107,' Elevage'!N$19),IF(B107="Hiver",_xlfn.DAYS(A107,' Elevage'!N$16),IF(B107="Stock",_xlfn.DAYS(A107,' Elevage'!N$12),"")))))</f>
        <v/>
      </c>
    </row>
    <row r="108" spans="1:11" x14ac:dyDescent="0.5">
      <c r="A108" s="280"/>
      <c r="B108" s="279"/>
      <c r="C108" s="279"/>
      <c r="D108" s="279"/>
      <c r="E108" s="279"/>
      <c r="F108" s="281"/>
      <c r="G108" s="281"/>
      <c r="H108" s="25" t="str">
        <f t="shared" si="7"/>
        <v/>
      </c>
      <c r="I108" s="25" t="str">
        <f t="shared" si="8"/>
        <v/>
      </c>
      <c r="J108" s="26" t="str">
        <f t="shared" si="9"/>
        <v/>
      </c>
      <c r="K108" s="252" t="str">
        <f>IF(B108="Printemps",_xlfn.DAYS(A108,' Elevage'!N$17),IF(B108="Eté",_xlfn.DAYS(A108,' Elevage'!N$18),IF(B108="Automne",_xlfn.DAYS(A108,' Elevage'!N$19),IF(B108="Hiver",_xlfn.DAYS(A108,' Elevage'!N$16),IF(B108="Stock",_xlfn.DAYS(A108,' Elevage'!N$12),"")))))</f>
        <v/>
      </c>
    </row>
    <row r="109" spans="1:11" x14ac:dyDescent="0.5">
      <c r="A109" s="280"/>
      <c r="B109" s="279"/>
      <c r="C109" s="279"/>
      <c r="D109" s="279"/>
      <c r="E109" s="279"/>
      <c r="F109" s="281"/>
      <c r="G109" s="281"/>
      <c r="H109" s="25" t="str">
        <f t="shared" si="7"/>
        <v/>
      </c>
      <c r="I109" s="25" t="str">
        <f t="shared" si="8"/>
        <v/>
      </c>
      <c r="J109" s="26" t="str">
        <f t="shared" si="9"/>
        <v/>
      </c>
      <c r="K109" s="252" t="str">
        <f>IF(B109="Printemps",_xlfn.DAYS(A109,' Elevage'!N$17),IF(B109="Eté",_xlfn.DAYS(A109,' Elevage'!N$18),IF(B109="Automne",_xlfn.DAYS(A109,' Elevage'!N$19),IF(B109="Hiver",_xlfn.DAYS(A109,' Elevage'!N$16),IF(B109="Stock",_xlfn.DAYS(A109,' Elevage'!N$12),"")))))</f>
        <v/>
      </c>
    </row>
    <row r="110" spans="1:11" x14ac:dyDescent="0.5">
      <c r="A110" s="280"/>
      <c r="B110" s="279"/>
      <c r="C110" s="279"/>
      <c r="D110" s="279"/>
      <c r="E110" s="279"/>
      <c r="F110" s="281"/>
      <c r="G110" s="281"/>
      <c r="H110" s="25" t="str">
        <f t="shared" si="7"/>
        <v/>
      </c>
      <c r="I110" s="25" t="str">
        <f t="shared" si="8"/>
        <v/>
      </c>
      <c r="J110" s="26" t="str">
        <f t="shared" si="9"/>
        <v/>
      </c>
      <c r="K110" s="252" t="str">
        <f>IF(B110="Printemps",_xlfn.DAYS(A110,' Elevage'!N$17),IF(B110="Eté",_xlfn.DAYS(A110,' Elevage'!N$18),IF(B110="Automne",_xlfn.DAYS(A110,' Elevage'!N$19),IF(B110="Hiver",_xlfn.DAYS(A110,' Elevage'!N$16),IF(B110="Stock",_xlfn.DAYS(A110,' Elevage'!N$12),"")))))</f>
        <v/>
      </c>
    </row>
    <row r="111" spans="1:11" x14ac:dyDescent="0.5">
      <c r="A111" s="280"/>
      <c r="B111" s="279"/>
      <c r="C111" s="279"/>
      <c r="D111" s="279"/>
      <c r="E111" s="279"/>
      <c r="F111" s="281"/>
      <c r="G111" s="281"/>
      <c r="H111" s="25" t="str">
        <f t="shared" si="7"/>
        <v/>
      </c>
      <c r="I111" s="25" t="str">
        <f t="shared" si="8"/>
        <v/>
      </c>
      <c r="J111" s="26" t="str">
        <f t="shared" si="9"/>
        <v/>
      </c>
      <c r="K111" s="252" t="str">
        <f>IF(B111="Printemps",_xlfn.DAYS(A111,' Elevage'!N$17),IF(B111="Eté",_xlfn.DAYS(A111,' Elevage'!N$18),IF(B111="Automne",_xlfn.DAYS(A111,' Elevage'!N$19),IF(B111="Hiver",_xlfn.DAYS(A111,' Elevage'!N$16),IF(B111="Stock",_xlfn.DAYS(A111,' Elevage'!N$12),"")))))</f>
        <v/>
      </c>
    </row>
    <row r="112" spans="1:11" x14ac:dyDescent="0.5">
      <c r="A112" s="280"/>
      <c r="B112" s="279"/>
      <c r="C112" s="279"/>
      <c r="D112" s="279"/>
      <c r="E112" s="279"/>
      <c r="F112" s="281"/>
      <c r="G112" s="281"/>
      <c r="H112" s="25" t="str">
        <f t="shared" si="7"/>
        <v/>
      </c>
      <c r="I112" s="25" t="str">
        <f t="shared" si="8"/>
        <v/>
      </c>
      <c r="J112" s="26" t="str">
        <f t="shared" si="9"/>
        <v/>
      </c>
      <c r="K112" s="252" t="str">
        <f>IF(B112="Printemps",_xlfn.DAYS(A112,' Elevage'!N$17),IF(B112="Eté",_xlfn.DAYS(A112,' Elevage'!N$18),IF(B112="Automne",_xlfn.DAYS(A112,' Elevage'!N$19),IF(B112="Hiver",_xlfn.DAYS(A112,' Elevage'!N$16),IF(B112="Stock",_xlfn.DAYS(A112,' Elevage'!N$12),"")))))</f>
        <v/>
      </c>
    </row>
    <row r="113" spans="1:11" x14ac:dyDescent="0.5">
      <c r="A113" s="280"/>
      <c r="B113" s="279"/>
      <c r="C113" s="279"/>
      <c r="D113" s="279"/>
      <c r="E113" s="279"/>
      <c r="F113" s="281"/>
      <c r="G113" s="281"/>
      <c r="H113" s="25" t="str">
        <f t="shared" si="7"/>
        <v/>
      </c>
      <c r="I113" s="25" t="str">
        <f t="shared" si="8"/>
        <v/>
      </c>
      <c r="J113" s="26" t="str">
        <f t="shared" si="9"/>
        <v/>
      </c>
      <c r="K113" s="252" t="str">
        <f>IF(B113="Printemps",_xlfn.DAYS(A113,' Elevage'!N$17),IF(B113="Eté",_xlfn.DAYS(A113,' Elevage'!N$18),IF(B113="Automne",_xlfn.DAYS(A113,' Elevage'!N$19),IF(B113="Hiver",_xlfn.DAYS(A113,' Elevage'!N$16),IF(B113="Stock",_xlfn.DAYS(A113,' Elevage'!N$12),"")))))</f>
        <v/>
      </c>
    </row>
    <row r="114" spans="1:11" x14ac:dyDescent="0.5">
      <c r="A114" s="280"/>
      <c r="B114" s="279"/>
      <c r="C114" s="279"/>
      <c r="D114" s="279"/>
      <c r="E114" s="279"/>
      <c r="F114" s="281"/>
      <c r="G114" s="281"/>
      <c r="H114" s="25" t="str">
        <f t="shared" si="7"/>
        <v/>
      </c>
      <c r="I114" s="25" t="str">
        <f t="shared" si="8"/>
        <v/>
      </c>
      <c r="J114" s="26" t="str">
        <f t="shared" si="9"/>
        <v/>
      </c>
      <c r="K114" s="252" t="str">
        <f>IF(B114="Printemps",_xlfn.DAYS(A114,' Elevage'!N$17),IF(B114="Eté",_xlfn.DAYS(A114,' Elevage'!N$18),IF(B114="Automne",_xlfn.DAYS(A114,' Elevage'!N$19),IF(B114="Hiver",_xlfn.DAYS(A114,' Elevage'!N$16),IF(B114="Stock",_xlfn.DAYS(A114,' Elevage'!N$12),"")))))</f>
        <v/>
      </c>
    </row>
    <row r="115" spans="1:11" x14ac:dyDescent="0.5">
      <c r="A115" s="280"/>
      <c r="B115" s="279"/>
      <c r="C115" s="279"/>
      <c r="D115" s="279"/>
      <c r="E115" s="279"/>
      <c r="F115" s="281"/>
      <c r="G115" s="281"/>
      <c r="H115" s="25" t="str">
        <f t="shared" si="7"/>
        <v/>
      </c>
      <c r="I115" s="25" t="str">
        <f t="shared" si="8"/>
        <v/>
      </c>
      <c r="J115" s="26" t="str">
        <f t="shared" si="9"/>
        <v/>
      </c>
      <c r="K115" s="252" t="str">
        <f>IF(B115="Printemps",_xlfn.DAYS(A115,' Elevage'!N$17),IF(B115="Eté",_xlfn.DAYS(A115,' Elevage'!N$18),IF(B115="Automne",_xlfn.DAYS(A115,' Elevage'!N$19),IF(B115="Hiver",_xlfn.DAYS(A115,' Elevage'!N$16),IF(B115="Stock",_xlfn.DAYS(A115,' Elevage'!N$12),"")))))</f>
        <v/>
      </c>
    </row>
    <row r="116" spans="1:11" x14ac:dyDescent="0.5">
      <c r="A116" s="280"/>
      <c r="B116" s="279"/>
      <c r="C116" s="279"/>
      <c r="D116" s="279"/>
      <c r="E116" s="279"/>
      <c r="F116" s="281"/>
      <c r="G116" s="281"/>
      <c r="H116" s="25" t="str">
        <f t="shared" si="7"/>
        <v/>
      </c>
      <c r="I116" s="25" t="str">
        <f t="shared" si="8"/>
        <v/>
      </c>
      <c r="J116" s="26" t="str">
        <f t="shared" si="9"/>
        <v/>
      </c>
      <c r="K116" s="252" t="str">
        <f>IF(B116="Printemps",_xlfn.DAYS(A116,' Elevage'!N$17),IF(B116="Eté",_xlfn.DAYS(A116,' Elevage'!N$18),IF(B116="Automne",_xlfn.DAYS(A116,' Elevage'!N$19),IF(B116="Hiver",_xlfn.DAYS(A116,' Elevage'!N$16),IF(B116="Stock",_xlfn.DAYS(A116,' Elevage'!N$12),"")))))</f>
        <v/>
      </c>
    </row>
    <row r="117" spans="1:11" x14ac:dyDescent="0.5">
      <c r="A117" s="280"/>
      <c r="B117" s="279"/>
      <c r="C117" s="279"/>
      <c r="D117" s="279"/>
      <c r="E117" s="279"/>
      <c r="F117" s="281"/>
      <c r="G117" s="281"/>
      <c r="H117" s="25" t="str">
        <f t="shared" si="7"/>
        <v/>
      </c>
      <c r="I117" s="25" t="str">
        <f t="shared" si="8"/>
        <v/>
      </c>
      <c r="J117" s="26" t="str">
        <f t="shared" si="9"/>
        <v/>
      </c>
      <c r="K117" s="252" t="str">
        <f>IF(B117="Printemps",_xlfn.DAYS(A117,' Elevage'!N$17),IF(B117="Eté",_xlfn.DAYS(A117,' Elevage'!N$18),IF(B117="Automne",_xlfn.DAYS(A117,' Elevage'!N$19),IF(B117="Hiver",_xlfn.DAYS(A117,' Elevage'!N$16),IF(B117="Stock",_xlfn.DAYS(A117,' Elevage'!N$12),"")))))</f>
        <v/>
      </c>
    </row>
    <row r="118" spans="1:11" x14ac:dyDescent="0.5">
      <c r="A118" s="280"/>
      <c r="B118" s="279"/>
      <c r="C118" s="279"/>
      <c r="D118" s="279"/>
      <c r="E118" s="279"/>
      <c r="F118" s="281"/>
      <c r="G118" s="281"/>
      <c r="H118" s="25" t="str">
        <f t="shared" si="7"/>
        <v/>
      </c>
      <c r="I118" s="25" t="str">
        <f t="shared" si="8"/>
        <v/>
      </c>
      <c r="J118" s="26" t="str">
        <f t="shared" si="9"/>
        <v/>
      </c>
      <c r="K118" s="252" t="str">
        <f>IF(B118="Printemps",_xlfn.DAYS(A118,' Elevage'!N$17),IF(B118="Eté",_xlfn.DAYS(A118,' Elevage'!N$18),IF(B118="Automne",_xlfn.DAYS(A118,' Elevage'!N$19),IF(B118="Hiver",_xlfn.DAYS(A118,' Elevage'!N$16),IF(B118="Stock",_xlfn.DAYS(A118,' Elevage'!N$12),"")))))</f>
        <v/>
      </c>
    </row>
    <row r="119" spans="1:11" x14ac:dyDescent="0.5">
      <c r="A119" s="280"/>
      <c r="B119" s="279"/>
      <c r="C119" s="279"/>
      <c r="D119" s="279"/>
      <c r="E119" s="279"/>
      <c r="F119" s="281"/>
      <c r="G119" s="281"/>
      <c r="H119" s="25" t="str">
        <f t="shared" si="7"/>
        <v/>
      </c>
      <c r="I119" s="25" t="str">
        <f t="shared" si="8"/>
        <v/>
      </c>
      <c r="J119" s="26" t="str">
        <f t="shared" si="9"/>
        <v/>
      </c>
      <c r="K119" s="252" t="str">
        <f>IF(B119="Printemps",_xlfn.DAYS(A119,' Elevage'!N$17),IF(B119="Eté",_xlfn.DAYS(A119,' Elevage'!N$18),IF(B119="Automne",_xlfn.DAYS(A119,' Elevage'!N$19),IF(B119="Hiver",_xlfn.DAYS(A119,' Elevage'!N$16),IF(B119="Stock",_xlfn.DAYS(A119,' Elevage'!N$12),"")))))</f>
        <v/>
      </c>
    </row>
    <row r="120" spans="1:11" x14ac:dyDescent="0.5">
      <c r="A120" s="280"/>
      <c r="B120" s="279"/>
      <c r="C120" s="279"/>
      <c r="D120" s="279"/>
      <c r="E120" s="279"/>
      <c r="F120" s="281"/>
      <c r="G120" s="281"/>
      <c r="H120" s="25" t="str">
        <f t="shared" si="7"/>
        <v/>
      </c>
      <c r="I120" s="25" t="str">
        <f t="shared" si="8"/>
        <v/>
      </c>
      <c r="J120" s="26" t="str">
        <f t="shared" si="9"/>
        <v/>
      </c>
      <c r="K120" s="252" t="str">
        <f>IF(B120="Printemps",_xlfn.DAYS(A120,' Elevage'!N$17),IF(B120="Eté",_xlfn.DAYS(A120,' Elevage'!N$18),IF(B120="Automne",_xlfn.DAYS(A120,' Elevage'!N$19),IF(B120="Hiver",_xlfn.DAYS(A120,' Elevage'!N$16),IF(B120="Stock",_xlfn.DAYS(A120,' Elevage'!N$12),"")))))</f>
        <v/>
      </c>
    </row>
    <row r="121" spans="1:11" x14ac:dyDescent="0.5">
      <c r="A121" s="280"/>
      <c r="B121" s="279"/>
      <c r="C121" s="279"/>
      <c r="D121" s="279"/>
      <c r="E121" s="279"/>
      <c r="F121" s="281"/>
      <c r="G121" s="281"/>
      <c r="H121" s="25" t="str">
        <f t="shared" si="7"/>
        <v/>
      </c>
      <c r="I121" s="25" t="str">
        <f t="shared" si="8"/>
        <v/>
      </c>
      <c r="J121" s="26" t="str">
        <f t="shared" si="9"/>
        <v/>
      </c>
      <c r="K121" s="252" t="str">
        <f>IF(B121="Printemps",_xlfn.DAYS(A121,' Elevage'!N$17),IF(B121="Eté",_xlfn.DAYS(A121,' Elevage'!N$18),IF(B121="Automne",_xlfn.DAYS(A121,' Elevage'!N$19),IF(B121="Hiver",_xlfn.DAYS(A121,' Elevage'!N$16),IF(B121="Stock",_xlfn.DAYS(A121,' Elevage'!N$12),"")))))</f>
        <v/>
      </c>
    </row>
    <row r="122" spans="1:11" x14ac:dyDescent="0.5">
      <c r="A122" s="280"/>
      <c r="B122" s="279"/>
      <c r="C122" s="279"/>
      <c r="D122" s="279"/>
      <c r="E122" s="279"/>
      <c r="F122" s="281"/>
      <c r="G122" s="281"/>
      <c r="H122" s="25" t="str">
        <f t="shared" si="7"/>
        <v/>
      </c>
      <c r="I122" s="25" t="str">
        <f t="shared" si="8"/>
        <v/>
      </c>
      <c r="J122" s="26" t="str">
        <f t="shared" si="9"/>
        <v/>
      </c>
      <c r="K122" s="252" t="str">
        <f>IF(B122="Printemps",_xlfn.DAYS(A122,' Elevage'!N$17),IF(B122="Eté",_xlfn.DAYS(A122,' Elevage'!N$18),IF(B122="Automne",_xlfn.DAYS(A122,' Elevage'!N$19),IF(B122="Hiver",_xlfn.DAYS(A122,' Elevage'!N$16),IF(B122="Stock",_xlfn.DAYS(A122,' Elevage'!N$12),"")))))</f>
        <v/>
      </c>
    </row>
    <row r="123" spans="1:11" x14ac:dyDescent="0.5">
      <c r="A123" s="280"/>
      <c r="B123" s="279"/>
      <c r="C123" s="279"/>
      <c r="D123" s="279"/>
      <c r="E123" s="279"/>
      <c r="F123" s="281"/>
      <c r="G123" s="281"/>
      <c r="H123" s="25" t="str">
        <f t="shared" si="7"/>
        <v/>
      </c>
      <c r="I123" s="25" t="str">
        <f t="shared" si="8"/>
        <v/>
      </c>
      <c r="J123" s="26" t="str">
        <f t="shared" si="9"/>
        <v/>
      </c>
      <c r="K123" s="252" t="str">
        <f>IF(B123="Printemps",_xlfn.DAYS(A123,' Elevage'!N$17),IF(B123="Eté",_xlfn.DAYS(A123,' Elevage'!N$18),IF(B123="Automne",_xlfn.DAYS(A123,' Elevage'!N$19),IF(B123="Hiver",_xlfn.DAYS(A123,' Elevage'!N$16),IF(B123="Stock",_xlfn.DAYS(A123,' Elevage'!N$12),"")))))</f>
        <v/>
      </c>
    </row>
    <row r="124" spans="1:11" x14ac:dyDescent="0.5">
      <c r="A124" s="280"/>
      <c r="B124" s="279"/>
      <c r="C124" s="279"/>
      <c r="D124" s="279"/>
      <c r="E124" s="279"/>
      <c r="F124" s="281"/>
      <c r="G124" s="281"/>
      <c r="H124" s="25" t="str">
        <f t="shared" si="7"/>
        <v/>
      </c>
      <c r="I124" s="25" t="str">
        <f t="shared" si="8"/>
        <v/>
      </c>
      <c r="J124" s="26" t="str">
        <f t="shared" si="9"/>
        <v/>
      </c>
      <c r="K124" s="252" t="str">
        <f>IF(B124="Printemps",_xlfn.DAYS(A124,' Elevage'!N$17),IF(B124="Eté",_xlfn.DAYS(A124,' Elevage'!N$18),IF(B124="Automne",_xlfn.DAYS(A124,' Elevage'!N$19),IF(B124="Hiver",_xlfn.DAYS(A124,' Elevage'!N$16),IF(B124="Stock",_xlfn.DAYS(A124,' Elevage'!N$12),"")))))</f>
        <v/>
      </c>
    </row>
    <row r="125" spans="1:11" x14ac:dyDescent="0.5">
      <c r="A125" s="280"/>
      <c r="B125" s="279"/>
      <c r="C125" s="279"/>
      <c r="D125" s="279"/>
      <c r="E125" s="279"/>
      <c r="F125" s="281"/>
      <c r="G125" s="281"/>
      <c r="H125" s="25" t="str">
        <f t="shared" si="7"/>
        <v/>
      </c>
      <c r="I125" s="25" t="str">
        <f t="shared" si="8"/>
        <v/>
      </c>
      <c r="J125" s="26" t="str">
        <f t="shared" si="9"/>
        <v/>
      </c>
      <c r="K125" s="252" t="str">
        <f>IF(B125="Printemps",_xlfn.DAYS(A125,' Elevage'!N$17),IF(B125="Eté",_xlfn.DAYS(A125,' Elevage'!N$18),IF(B125="Automne",_xlfn.DAYS(A125,' Elevage'!N$19),IF(B125="Hiver",_xlfn.DAYS(A125,' Elevage'!N$16),IF(B125="Stock",_xlfn.DAYS(A125,' Elevage'!N$12),"")))))</f>
        <v/>
      </c>
    </row>
    <row r="126" spans="1:11" x14ac:dyDescent="0.5">
      <c r="A126" s="280"/>
      <c r="B126" s="279"/>
      <c r="C126" s="279"/>
      <c r="D126" s="279"/>
      <c r="E126" s="279"/>
      <c r="F126" s="281"/>
      <c r="G126" s="281"/>
      <c r="H126" s="25" t="str">
        <f t="shared" si="7"/>
        <v/>
      </c>
      <c r="I126" s="25" t="str">
        <f t="shared" si="8"/>
        <v/>
      </c>
      <c r="J126" s="26" t="str">
        <f t="shared" si="9"/>
        <v/>
      </c>
      <c r="K126" s="252" t="str">
        <f>IF(B126="Printemps",_xlfn.DAYS(A126,' Elevage'!N$17),IF(B126="Eté",_xlfn.DAYS(A126,' Elevage'!N$18),IF(B126="Automne",_xlfn.DAYS(A126,' Elevage'!N$19),IF(B126="Hiver",_xlfn.DAYS(A126,' Elevage'!N$16),IF(B126="Stock",_xlfn.DAYS(A126,' Elevage'!N$12),"")))))</f>
        <v/>
      </c>
    </row>
    <row r="127" spans="1:11" x14ac:dyDescent="0.5">
      <c r="A127" s="280"/>
      <c r="B127" s="279"/>
      <c r="C127" s="279"/>
      <c r="D127" s="279"/>
      <c r="E127" s="279"/>
      <c r="F127" s="281"/>
      <c r="G127" s="281"/>
      <c r="H127" s="25" t="str">
        <f t="shared" si="7"/>
        <v/>
      </c>
      <c r="I127" s="25" t="str">
        <f t="shared" si="8"/>
        <v/>
      </c>
      <c r="J127" s="26" t="str">
        <f t="shared" si="9"/>
        <v/>
      </c>
      <c r="K127" s="252" t="str">
        <f>IF(B127="Printemps",_xlfn.DAYS(A127,' Elevage'!N$17),IF(B127="Eté",_xlfn.DAYS(A127,' Elevage'!N$18),IF(B127="Automne",_xlfn.DAYS(A127,' Elevage'!N$19),IF(B127="Hiver",_xlfn.DAYS(A127,' Elevage'!N$16),IF(B127="Stock",_xlfn.DAYS(A127,' Elevage'!N$12),"")))))</f>
        <v/>
      </c>
    </row>
    <row r="128" spans="1:11" x14ac:dyDescent="0.5">
      <c r="A128" s="280"/>
      <c r="B128" s="279"/>
      <c r="C128" s="279"/>
      <c r="D128" s="279"/>
      <c r="E128" s="279"/>
      <c r="F128" s="281"/>
      <c r="G128" s="281"/>
      <c r="H128" s="25" t="str">
        <f t="shared" si="7"/>
        <v/>
      </c>
      <c r="I128" s="25" t="str">
        <f t="shared" si="8"/>
        <v/>
      </c>
      <c r="J128" s="26" t="str">
        <f t="shared" si="9"/>
        <v/>
      </c>
      <c r="K128" s="252" t="str">
        <f>IF(B128="Printemps",_xlfn.DAYS(A128,' Elevage'!N$17),IF(B128="Eté",_xlfn.DAYS(A128,' Elevage'!N$18),IF(B128="Automne",_xlfn.DAYS(A128,' Elevage'!N$19),IF(B128="Hiver",_xlfn.DAYS(A128,' Elevage'!N$16),IF(B128="Stock",_xlfn.DAYS(A128,' Elevage'!N$12),"")))))</f>
        <v/>
      </c>
    </row>
    <row r="129" spans="1:11" x14ac:dyDescent="0.5">
      <c r="A129" s="280"/>
      <c r="B129" s="279"/>
      <c r="C129" s="279"/>
      <c r="D129" s="279"/>
      <c r="E129" s="279"/>
      <c r="F129" s="281"/>
      <c r="G129" s="281"/>
      <c r="H129" s="25" t="str">
        <f t="shared" si="7"/>
        <v/>
      </c>
      <c r="I129" s="25" t="str">
        <f t="shared" si="8"/>
        <v/>
      </c>
      <c r="J129" s="26" t="str">
        <f t="shared" si="9"/>
        <v/>
      </c>
      <c r="K129" s="252" t="str">
        <f>IF(B129="Printemps",_xlfn.DAYS(A129,' Elevage'!N$17),IF(B129="Eté",_xlfn.DAYS(A129,' Elevage'!N$18),IF(B129="Automne",_xlfn.DAYS(A129,' Elevage'!N$19),IF(B129="Hiver",_xlfn.DAYS(A129,' Elevage'!N$16),IF(B129="Stock",_xlfn.DAYS(A129,' Elevage'!N$12),"")))))</f>
        <v/>
      </c>
    </row>
    <row r="130" spans="1:11" x14ac:dyDescent="0.5">
      <c r="A130" s="280"/>
      <c r="B130" s="279"/>
      <c r="C130" s="279"/>
      <c r="D130" s="279"/>
      <c r="E130" s="279"/>
      <c r="F130" s="281"/>
      <c r="G130" s="281"/>
      <c r="H130" s="25" t="str">
        <f t="shared" si="7"/>
        <v/>
      </c>
      <c r="I130" s="25" t="str">
        <f t="shared" si="8"/>
        <v/>
      </c>
      <c r="J130" s="26" t="str">
        <f t="shared" si="9"/>
        <v/>
      </c>
      <c r="K130" s="252" t="str">
        <f>IF(B130="Printemps",_xlfn.DAYS(A130,' Elevage'!N$17),IF(B130="Eté",_xlfn.DAYS(A130,' Elevage'!N$18),IF(B130="Automne",_xlfn.DAYS(A130,' Elevage'!N$19),IF(B130="Hiver",_xlfn.DAYS(A130,' Elevage'!N$16),IF(B130="Stock",_xlfn.DAYS(A130,' Elevage'!N$12),"")))))</f>
        <v/>
      </c>
    </row>
    <row r="131" spans="1:11" x14ac:dyDescent="0.5">
      <c r="A131" s="280"/>
      <c r="B131" s="279"/>
      <c r="C131" s="279"/>
      <c r="D131" s="279"/>
      <c r="E131" s="279"/>
      <c r="F131" s="281"/>
      <c r="G131" s="281"/>
      <c r="H131" s="25" t="str">
        <f t="shared" si="7"/>
        <v/>
      </c>
      <c r="I131" s="25" t="str">
        <f t="shared" si="8"/>
        <v/>
      </c>
      <c r="J131" s="26" t="str">
        <f t="shared" si="9"/>
        <v/>
      </c>
      <c r="K131" s="252" t="str">
        <f>IF(B131="Printemps",_xlfn.DAYS(A131,' Elevage'!N$17),IF(B131="Eté",_xlfn.DAYS(A131,' Elevage'!N$18),IF(B131="Automne",_xlfn.DAYS(A131,' Elevage'!N$19),IF(B131="Hiver",_xlfn.DAYS(A131,' Elevage'!N$16),IF(B131="Stock",_xlfn.DAYS(A131,' Elevage'!N$12),"")))))</f>
        <v/>
      </c>
    </row>
    <row r="132" spans="1:11" x14ac:dyDescent="0.5">
      <c r="A132" s="280"/>
      <c r="B132" s="279"/>
      <c r="C132" s="279"/>
      <c r="D132" s="279"/>
      <c r="E132" s="279"/>
      <c r="F132" s="281"/>
      <c r="G132" s="281"/>
      <c r="H132" s="25" t="str">
        <f t="shared" si="7"/>
        <v/>
      </c>
      <c r="I132" s="25" t="str">
        <f t="shared" si="8"/>
        <v/>
      </c>
      <c r="J132" s="26" t="str">
        <f t="shared" si="9"/>
        <v/>
      </c>
      <c r="K132" s="252" t="str">
        <f>IF(B132="Printemps",_xlfn.DAYS(A132,' Elevage'!N$17),IF(B132="Eté",_xlfn.DAYS(A132,' Elevage'!N$18),IF(B132="Automne",_xlfn.DAYS(A132,' Elevage'!N$19),IF(B132="Hiver",_xlfn.DAYS(A132,' Elevage'!N$16),IF(B132="Stock",_xlfn.DAYS(A132,' Elevage'!N$12),"")))))</f>
        <v/>
      </c>
    </row>
    <row r="133" spans="1:11" x14ac:dyDescent="0.5">
      <c r="A133" s="280"/>
      <c r="B133" s="279"/>
      <c r="C133" s="279"/>
      <c r="D133" s="279"/>
      <c r="E133" s="279"/>
      <c r="F133" s="281"/>
      <c r="G133" s="281"/>
      <c r="H133" s="25" t="str">
        <f t="shared" si="7"/>
        <v/>
      </c>
      <c r="I133" s="25" t="str">
        <f t="shared" si="8"/>
        <v/>
      </c>
      <c r="J133" s="26" t="str">
        <f t="shared" si="9"/>
        <v/>
      </c>
      <c r="K133" s="252" t="str">
        <f>IF(B133="Printemps",_xlfn.DAYS(A133,' Elevage'!N$17),IF(B133="Eté",_xlfn.DAYS(A133,' Elevage'!N$18),IF(B133="Automne",_xlfn.DAYS(A133,' Elevage'!N$19),IF(B133="Hiver",_xlfn.DAYS(A133,' Elevage'!N$16),IF(B133="Stock",_xlfn.DAYS(A133,' Elevage'!N$12),"")))))</f>
        <v/>
      </c>
    </row>
    <row r="134" spans="1:11" x14ac:dyDescent="0.5">
      <c r="A134" s="280"/>
      <c r="B134" s="279"/>
      <c r="C134" s="279"/>
      <c r="D134" s="279"/>
      <c r="E134" s="279"/>
      <c r="F134" s="281"/>
      <c r="G134" s="281"/>
      <c r="H134" s="25" t="str">
        <f t="shared" si="7"/>
        <v/>
      </c>
      <c r="I134" s="25" t="str">
        <f t="shared" si="8"/>
        <v/>
      </c>
      <c r="J134" s="26" t="str">
        <f t="shared" si="9"/>
        <v/>
      </c>
      <c r="K134" s="252" t="str">
        <f>IF(B134="Printemps",_xlfn.DAYS(A134,' Elevage'!N$17),IF(B134="Eté",_xlfn.DAYS(A134,' Elevage'!N$18),IF(B134="Automne",_xlfn.DAYS(A134,' Elevage'!N$19),IF(B134="Hiver",_xlfn.DAYS(A134,' Elevage'!N$16),IF(B134="Stock",_xlfn.DAYS(A134,' Elevage'!N$12),"")))))</f>
        <v/>
      </c>
    </row>
    <row r="135" spans="1:11" x14ac:dyDescent="0.5">
      <c r="A135" s="280"/>
      <c r="B135" s="279"/>
      <c r="C135" s="279"/>
      <c r="D135" s="279"/>
      <c r="E135" s="279"/>
      <c r="F135" s="281"/>
      <c r="G135" s="281"/>
      <c r="H135" s="25" t="str">
        <f t="shared" si="7"/>
        <v/>
      </c>
      <c r="I135" s="25" t="str">
        <f t="shared" si="8"/>
        <v/>
      </c>
      <c r="J135" s="26" t="str">
        <f t="shared" si="9"/>
        <v/>
      </c>
      <c r="K135" s="252" t="str">
        <f>IF(B135="Printemps",_xlfn.DAYS(A135,' Elevage'!N$17),IF(B135="Eté",_xlfn.DAYS(A135,' Elevage'!N$18),IF(B135="Automne",_xlfn.DAYS(A135,' Elevage'!N$19),IF(B135="Hiver",_xlfn.DAYS(A135,' Elevage'!N$16),IF(B135="Stock",_xlfn.DAYS(A135,' Elevage'!N$12),"")))))</f>
        <v/>
      </c>
    </row>
    <row r="136" spans="1:11" x14ac:dyDescent="0.5">
      <c r="A136" s="280"/>
      <c r="B136" s="279"/>
      <c r="C136" s="279"/>
      <c r="D136" s="279"/>
      <c r="E136" s="279"/>
      <c r="F136" s="281"/>
      <c r="G136" s="281"/>
      <c r="H136" s="25" t="str">
        <f t="shared" ref="H136:H199" si="10">IF(F136=0,"",F136/E136)</f>
        <v/>
      </c>
      <c r="I136" s="25" t="str">
        <f t="shared" ref="I136:I199" si="11">IF(F136=0,"",G136/F136)</f>
        <v/>
      </c>
      <c r="J136" s="26" t="str">
        <f t="shared" ref="J136:J199" si="12">IF(E136=0,"",G136/E136)</f>
        <v/>
      </c>
      <c r="K136" s="252" t="str">
        <f>IF(B136="Printemps",_xlfn.DAYS(A136,' Elevage'!N$17),IF(B136="Eté",_xlfn.DAYS(A136,' Elevage'!N$18),IF(B136="Automne",_xlfn.DAYS(A136,' Elevage'!N$19),IF(B136="Hiver",_xlfn.DAYS(A136,' Elevage'!N$16),IF(B136="Stock",_xlfn.DAYS(A136,' Elevage'!N$12),"")))))</f>
        <v/>
      </c>
    </row>
    <row r="137" spans="1:11" x14ac:dyDescent="0.5">
      <c r="A137" s="280"/>
      <c r="B137" s="279"/>
      <c r="C137" s="279"/>
      <c r="D137" s="279"/>
      <c r="E137" s="279"/>
      <c r="F137" s="281"/>
      <c r="G137" s="281"/>
      <c r="H137" s="25" t="str">
        <f t="shared" si="10"/>
        <v/>
      </c>
      <c r="I137" s="25" t="str">
        <f t="shared" si="11"/>
        <v/>
      </c>
      <c r="J137" s="26" t="str">
        <f t="shared" si="12"/>
        <v/>
      </c>
      <c r="K137" s="252" t="str">
        <f>IF(B137="Printemps",_xlfn.DAYS(A137,' Elevage'!N$17),IF(B137="Eté",_xlfn.DAYS(A137,' Elevage'!N$18),IF(B137="Automne",_xlfn.DAYS(A137,' Elevage'!N$19),IF(B137="Hiver",_xlfn.DAYS(A137,' Elevage'!N$16),IF(B137="Stock",_xlfn.DAYS(A137,' Elevage'!N$12),"")))))</f>
        <v/>
      </c>
    </row>
    <row r="138" spans="1:11" x14ac:dyDescent="0.5">
      <c r="A138" s="280"/>
      <c r="B138" s="279"/>
      <c r="C138" s="279"/>
      <c r="D138" s="279"/>
      <c r="E138" s="279"/>
      <c r="F138" s="281"/>
      <c r="G138" s="281"/>
      <c r="H138" s="25" t="str">
        <f t="shared" si="10"/>
        <v/>
      </c>
      <c r="I138" s="25" t="str">
        <f t="shared" si="11"/>
        <v/>
      </c>
      <c r="J138" s="26" t="str">
        <f t="shared" si="12"/>
        <v/>
      </c>
      <c r="K138" s="252" t="str">
        <f>IF(B138="Printemps",_xlfn.DAYS(A138,' Elevage'!N$17),IF(B138="Eté",_xlfn.DAYS(A138,' Elevage'!N$18),IF(B138="Automne",_xlfn.DAYS(A138,' Elevage'!N$19),IF(B138="Hiver",_xlfn.DAYS(A138,' Elevage'!N$16),IF(B138="Stock",_xlfn.DAYS(A138,' Elevage'!N$12),"")))))</f>
        <v/>
      </c>
    </row>
    <row r="139" spans="1:11" x14ac:dyDescent="0.5">
      <c r="A139" s="280"/>
      <c r="B139" s="279"/>
      <c r="C139" s="279"/>
      <c r="D139" s="279"/>
      <c r="E139" s="279"/>
      <c r="F139" s="281"/>
      <c r="G139" s="281"/>
      <c r="H139" s="25" t="str">
        <f t="shared" si="10"/>
        <v/>
      </c>
      <c r="I139" s="25" t="str">
        <f t="shared" si="11"/>
        <v/>
      </c>
      <c r="J139" s="26" t="str">
        <f t="shared" si="12"/>
        <v/>
      </c>
      <c r="K139" s="252" t="str">
        <f>IF(B139="Printemps",_xlfn.DAYS(A139,' Elevage'!N$17),IF(B139="Eté",_xlfn.DAYS(A139,' Elevage'!N$18),IF(B139="Automne",_xlfn.DAYS(A139,' Elevage'!N$19),IF(B139="Hiver",_xlfn.DAYS(A139,' Elevage'!N$16),IF(B139="Stock",_xlfn.DAYS(A139,' Elevage'!N$12),"")))))</f>
        <v/>
      </c>
    </row>
    <row r="140" spans="1:11" x14ac:dyDescent="0.5">
      <c r="A140" s="280"/>
      <c r="B140" s="279"/>
      <c r="C140" s="279"/>
      <c r="D140" s="279"/>
      <c r="E140" s="279"/>
      <c r="F140" s="281"/>
      <c r="G140" s="281"/>
      <c r="H140" s="25" t="str">
        <f t="shared" si="10"/>
        <v/>
      </c>
      <c r="I140" s="25" t="str">
        <f t="shared" si="11"/>
        <v/>
      </c>
      <c r="J140" s="26" t="str">
        <f t="shared" si="12"/>
        <v/>
      </c>
      <c r="K140" s="252" t="str">
        <f>IF(B140="Printemps",_xlfn.DAYS(A140,' Elevage'!N$17),IF(B140="Eté",_xlfn.DAYS(A140,' Elevage'!N$18),IF(B140="Automne",_xlfn.DAYS(A140,' Elevage'!N$19),IF(B140="Hiver",_xlfn.DAYS(A140,' Elevage'!N$16),IF(B140="Stock",_xlfn.DAYS(A140,' Elevage'!N$12),"")))))</f>
        <v/>
      </c>
    </row>
    <row r="141" spans="1:11" x14ac:dyDescent="0.5">
      <c r="A141" s="280"/>
      <c r="B141" s="279"/>
      <c r="C141" s="279"/>
      <c r="D141" s="279"/>
      <c r="E141" s="279"/>
      <c r="F141" s="281"/>
      <c r="G141" s="281"/>
      <c r="H141" s="25" t="str">
        <f t="shared" si="10"/>
        <v/>
      </c>
      <c r="I141" s="25" t="str">
        <f t="shared" si="11"/>
        <v/>
      </c>
      <c r="J141" s="26" t="str">
        <f t="shared" si="12"/>
        <v/>
      </c>
      <c r="K141" s="252" t="str">
        <f>IF(B141="Printemps",_xlfn.DAYS(A141,' Elevage'!N$17),IF(B141="Eté",_xlfn.DAYS(A141,' Elevage'!N$18),IF(B141="Automne",_xlfn.DAYS(A141,' Elevage'!N$19),IF(B141="Hiver",_xlfn.DAYS(A141,' Elevage'!N$16),IF(B141="Stock",_xlfn.DAYS(A141,' Elevage'!N$12),"")))))</f>
        <v/>
      </c>
    </row>
    <row r="142" spans="1:11" x14ac:dyDescent="0.5">
      <c r="A142" s="280"/>
      <c r="B142" s="279"/>
      <c r="C142" s="279"/>
      <c r="D142" s="279"/>
      <c r="E142" s="279"/>
      <c r="F142" s="281"/>
      <c r="G142" s="281"/>
      <c r="H142" s="25" t="str">
        <f t="shared" si="10"/>
        <v/>
      </c>
      <c r="I142" s="25" t="str">
        <f t="shared" si="11"/>
        <v/>
      </c>
      <c r="J142" s="26" t="str">
        <f t="shared" si="12"/>
        <v/>
      </c>
      <c r="K142" s="252" t="str">
        <f>IF(B142="Printemps",_xlfn.DAYS(A142,' Elevage'!N$17),IF(B142="Eté",_xlfn.DAYS(A142,' Elevage'!N$18),IF(B142="Automne",_xlfn.DAYS(A142,' Elevage'!N$19),IF(B142="Hiver",_xlfn.DAYS(A142,' Elevage'!N$16),IF(B142="Stock",_xlfn.DAYS(A142,' Elevage'!N$12),"")))))</f>
        <v/>
      </c>
    </row>
    <row r="143" spans="1:11" x14ac:dyDescent="0.5">
      <c r="A143" s="280"/>
      <c r="B143" s="279"/>
      <c r="C143" s="279"/>
      <c r="D143" s="279"/>
      <c r="E143" s="279"/>
      <c r="F143" s="281"/>
      <c r="G143" s="281"/>
      <c r="H143" s="25" t="str">
        <f t="shared" si="10"/>
        <v/>
      </c>
      <c r="I143" s="25" t="str">
        <f t="shared" si="11"/>
        <v/>
      </c>
      <c r="J143" s="26" t="str">
        <f t="shared" si="12"/>
        <v/>
      </c>
      <c r="K143" s="252" t="str">
        <f>IF(B143="Printemps",_xlfn.DAYS(A143,' Elevage'!N$17),IF(B143="Eté",_xlfn.DAYS(A143,' Elevage'!N$18),IF(B143="Automne",_xlfn.DAYS(A143,' Elevage'!N$19),IF(B143="Hiver",_xlfn.DAYS(A143,' Elevage'!N$16),IF(B143="Stock",_xlfn.DAYS(A143,' Elevage'!N$12),"")))))</f>
        <v/>
      </c>
    </row>
    <row r="144" spans="1:11" x14ac:dyDescent="0.5">
      <c r="A144" s="280"/>
      <c r="B144" s="279"/>
      <c r="C144" s="279"/>
      <c r="D144" s="279"/>
      <c r="E144" s="279"/>
      <c r="F144" s="281"/>
      <c r="G144" s="281"/>
      <c r="H144" s="25" t="str">
        <f t="shared" si="10"/>
        <v/>
      </c>
      <c r="I144" s="25" t="str">
        <f t="shared" si="11"/>
        <v/>
      </c>
      <c r="J144" s="26" t="str">
        <f t="shared" si="12"/>
        <v/>
      </c>
      <c r="K144" s="252" t="str">
        <f>IF(B144="Printemps",_xlfn.DAYS(A144,' Elevage'!N$17),IF(B144="Eté",_xlfn.DAYS(A144,' Elevage'!N$18),IF(B144="Automne",_xlfn.DAYS(A144,' Elevage'!N$19),IF(B144="Hiver",_xlfn.DAYS(A144,' Elevage'!N$16),IF(B144="Stock",_xlfn.DAYS(A144,' Elevage'!N$12),"")))))</f>
        <v/>
      </c>
    </row>
    <row r="145" spans="1:11" x14ac:dyDescent="0.5">
      <c r="A145" s="280"/>
      <c r="B145" s="279"/>
      <c r="C145" s="279"/>
      <c r="D145" s="279"/>
      <c r="E145" s="279"/>
      <c r="F145" s="281"/>
      <c r="G145" s="281"/>
      <c r="H145" s="25" t="str">
        <f t="shared" si="10"/>
        <v/>
      </c>
      <c r="I145" s="25" t="str">
        <f t="shared" si="11"/>
        <v/>
      </c>
      <c r="J145" s="26" t="str">
        <f t="shared" si="12"/>
        <v/>
      </c>
      <c r="K145" s="252" t="str">
        <f>IF(B145="Printemps",_xlfn.DAYS(A145,' Elevage'!N$17),IF(B145="Eté",_xlfn.DAYS(A145,' Elevage'!N$18),IF(B145="Automne",_xlfn.DAYS(A145,' Elevage'!N$19),IF(B145="Hiver",_xlfn.DAYS(A145,' Elevage'!N$16),IF(B145="Stock",_xlfn.DAYS(A145,' Elevage'!N$12),"")))))</f>
        <v/>
      </c>
    </row>
    <row r="146" spans="1:11" x14ac:dyDescent="0.5">
      <c r="A146" s="280"/>
      <c r="B146" s="279"/>
      <c r="C146" s="279"/>
      <c r="D146" s="279"/>
      <c r="E146" s="279"/>
      <c r="F146" s="281"/>
      <c r="G146" s="281"/>
      <c r="H146" s="25" t="str">
        <f t="shared" si="10"/>
        <v/>
      </c>
      <c r="I146" s="25" t="str">
        <f t="shared" si="11"/>
        <v/>
      </c>
      <c r="J146" s="26" t="str">
        <f t="shared" si="12"/>
        <v/>
      </c>
      <c r="K146" s="252" t="str">
        <f>IF(B146="Printemps",_xlfn.DAYS(A146,' Elevage'!N$17),IF(B146="Eté",_xlfn.DAYS(A146,' Elevage'!N$18),IF(B146="Automne",_xlfn.DAYS(A146,' Elevage'!N$19),IF(B146="Hiver",_xlfn.DAYS(A146,' Elevage'!N$16),IF(B146="Stock",_xlfn.DAYS(A146,' Elevage'!N$12),"")))))</f>
        <v/>
      </c>
    </row>
    <row r="147" spans="1:11" x14ac:dyDescent="0.5">
      <c r="A147" s="280"/>
      <c r="B147" s="279"/>
      <c r="C147" s="279"/>
      <c r="D147" s="279"/>
      <c r="E147" s="279"/>
      <c r="F147" s="281"/>
      <c r="G147" s="281"/>
      <c r="H147" s="25" t="str">
        <f t="shared" si="10"/>
        <v/>
      </c>
      <c r="I147" s="25" t="str">
        <f t="shared" si="11"/>
        <v/>
      </c>
      <c r="J147" s="26" t="str">
        <f t="shared" si="12"/>
        <v/>
      </c>
      <c r="K147" s="252" t="str">
        <f>IF(B147="Printemps",_xlfn.DAYS(A147,' Elevage'!N$17),IF(B147="Eté",_xlfn.DAYS(A147,' Elevage'!N$18),IF(B147="Automne",_xlfn.DAYS(A147,' Elevage'!N$19),IF(B147="Hiver",_xlfn.DAYS(A147,' Elevage'!N$16),IF(B147="Stock",_xlfn.DAYS(A147,' Elevage'!N$12),"")))))</f>
        <v/>
      </c>
    </row>
    <row r="148" spans="1:11" x14ac:dyDescent="0.5">
      <c r="A148" s="280"/>
      <c r="B148" s="279"/>
      <c r="C148" s="279"/>
      <c r="D148" s="279"/>
      <c r="E148" s="279"/>
      <c r="F148" s="281"/>
      <c r="G148" s="281"/>
      <c r="H148" s="25" t="str">
        <f t="shared" si="10"/>
        <v/>
      </c>
      <c r="I148" s="25" t="str">
        <f t="shared" si="11"/>
        <v/>
      </c>
      <c r="J148" s="26" t="str">
        <f t="shared" si="12"/>
        <v/>
      </c>
      <c r="K148" s="252" t="str">
        <f>IF(B148="Printemps",_xlfn.DAYS(A148,' Elevage'!N$17),IF(B148="Eté",_xlfn.DAYS(A148,' Elevage'!N$18),IF(B148="Automne",_xlfn.DAYS(A148,' Elevage'!N$19),IF(B148="Hiver",_xlfn.DAYS(A148,' Elevage'!N$16),IF(B148="Stock",_xlfn.DAYS(A148,' Elevage'!N$12),"")))))</f>
        <v/>
      </c>
    </row>
    <row r="149" spans="1:11" x14ac:dyDescent="0.5">
      <c r="A149" s="280"/>
      <c r="B149" s="279"/>
      <c r="C149" s="279"/>
      <c r="D149" s="279"/>
      <c r="E149" s="279"/>
      <c r="F149" s="281"/>
      <c r="G149" s="281"/>
      <c r="H149" s="25" t="str">
        <f t="shared" si="10"/>
        <v/>
      </c>
      <c r="I149" s="25" t="str">
        <f t="shared" si="11"/>
        <v/>
      </c>
      <c r="J149" s="26" t="str">
        <f t="shared" si="12"/>
        <v/>
      </c>
      <c r="K149" s="252" t="str">
        <f>IF(B149="Printemps",_xlfn.DAYS(A149,' Elevage'!N$17),IF(B149="Eté",_xlfn.DAYS(A149,' Elevage'!N$18),IF(B149="Automne",_xlfn.DAYS(A149,' Elevage'!N$19),IF(B149="Hiver",_xlfn.DAYS(A149,' Elevage'!N$16),IF(B149="Stock",_xlfn.DAYS(A149,' Elevage'!N$12),"")))))</f>
        <v/>
      </c>
    </row>
    <row r="150" spans="1:11" x14ac:dyDescent="0.5">
      <c r="A150" s="280"/>
      <c r="B150" s="279"/>
      <c r="C150" s="279"/>
      <c r="D150" s="279"/>
      <c r="E150" s="279"/>
      <c r="F150" s="281"/>
      <c r="G150" s="281"/>
      <c r="H150" s="25" t="str">
        <f t="shared" si="10"/>
        <v/>
      </c>
      <c r="I150" s="25" t="str">
        <f t="shared" si="11"/>
        <v/>
      </c>
      <c r="J150" s="26" t="str">
        <f t="shared" si="12"/>
        <v/>
      </c>
      <c r="K150" s="252" t="str">
        <f>IF(B150="Printemps",_xlfn.DAYS(A150,' Elevage'!N$17),IF(B150="Eté",_xlfn.DAYS(A150,' Elevage'!N$18),IF(B150="Automne",_xlfn.DAYS(A150,' Elevage'!N$19),IF(B150="Hiver",_xlfn.DAYS(A150,' Elevage'!N$16),IF(B150="Stock",_xlfn.DAYS(A150,' Elevage'!N$12),"")))))</f>
        <v/>
      </c>
    </row>
    <row r="151" spans="1:11" x14ac:dyDescent="0.5">
      <c r="A151" s="280"/>
      <c r="B151" s="279"/>
      <c r="C151" s="279"/>
      <c r="D151" s="279"/>
      <c r="E151" s="279"/>
      <c r="F151" s="281"/>
      <c r="G151" s="281"/>
      <c r="H151" s="25" t="str">
        <f t="shared" si="10"/>
        <v/>
      </c>
      <c r="I151" s="25" t="str">
        <f t="shared" si="11"/>
        <v/>
      </c>
      <c r="J151" s="26" t="str">
        <f t="shared" si="12"/>
        <v/>
      </c>
      <c r="K151" s="252" t="str">
        <f>IF(B151="Printemps",_xlfn.DAYS(A151,' Elevage'!N$17),IF(B151="Eté",_xlfn.DAYS(A151,' Elevage'!N$18),IF(B151="Automne",_xlfn.DAYS(A151,' Elevage'!N$19),IF(B151="Hiver",_xlfn.DAYS(A151,' Elevage'!N$16),IF(B151="Stock",_xlfn.DAYS(A151,' Elevage'!N$12),"")))))</f>
        <v/>
      </c>
    </row>
    <row r="152" spans="1:11" x14ac:dyDescent="0.5">
      <c r="A152" s="280"/>
      <c r="B152" s="279"/>
      <c r="C152" s="279"/>
      <c r="D152" s="279"/>
      <c r="E152" s="279"/>
      <c r="F152" s="281"/>
      <c r="G152" s="281"/>
      <c r="H152" s="25" t="str">
        <f t="shared" si="10"/>
        <v/>
      </c>
      <c r="I152" s="25" t="str">
        <f t="shared" si="11"/>
        <v/>
      </c>
      <c r="J152" s="26" t="str">
        <f t="shared" si="12"/>
        <v/>
      </c>
      <c r="K152" s="252" t="str">
        <f>IF(B152="Printemps",_xlfn.DAYS(A152,' Elevage'!N$17),IF(B152="Eté",_xlfn.DAYS(A152,' Elevage'!N$18),IF(B152="Automne",_xlfn.DAYS(A152,' Elevage'!N$19),IF(B152="Hiver",_xlfn.DAYS(A152,' Elevage'!N$16),IF(B152="Stock",_xlfn.DAYS(A152,' Elevage'!N$12),"")))))</f>
        <v/>
      </c>
    </row>
    <row r="153" spans="1:11" x14ac:dyDescent="0.5">
      <c r="A153" s="280"/>
      <c r="B153" s="279"/>
      <c r="C153" s="279"/>
      <c r="D153" s="279"/>
      <c r="E153" s="279"/>
      <c r="F153" s="281"/>
      <c r="G153" s="281"/>
      <c r="H153" s="25" t="str">
        <f t="shared" si="10"/>
        <v/>
      </c>
      <c r="I153" s="25" t="str">
        <f t="shared" si="11"/>
        <v/>
      </c>
      <c r="J153" s="26" t="str">
        <f t="shared" si="12"/>
        <v/>
      </c>
      <c r="K153" s="252" t="str">
        <f>IF(B153="Printemps",_xlfn.DAYS(A153,' Elevage'!N$17),IF(B153="Eté",_xlfn.DAYS(A153,' Elevage'!N$18),IF(B153="Automne",_xlfn.DAYS(A153,' Elevage'!N$19),IF(B153="Hiver",_xlfn.DAYS(A153,' Elevage'!N$16),IF(B153="Stock",_xlfn.DAYS(A153,' Elevage'!N$12),"")))))</f>
        <v/>
      </c>
    </row>
    <row r="154" spans="1:11" x14ac:dyDescent="0.5">
      <c r="A154" s="280"/>
      <c r="B154" s="279"/>
      <c r="C154" s="279"/>
      <c r="D154" s="279"/>
      <c r="E154" s="279"/>
      <c r="F154" s="281"/>
      <c r="G154" s="281"/>
      <c r="H154" s="25" t="str">
        <f t="shared" si="10"/>
        <v/>
      </c>
      <c r="I154" s="25" t="str">
        <f t="shared" si="11"/>
        <v/>
      </c>
      <c r="J154" s="26" t="str">
        <f t="shared" si="12"/>
        <v/>
      </c>
      <c r="K154" s="252" t="str">
        <f>IF(B154="Printemps",_xlfn.DAYS(A154,' Elevage'!N$17),IF(B154="Eté",_xlfn.DAYS(A154,' Elevage'!N$18),IF(B154="Automne",_xlfn.DAYS(A154,' Elevage'!N$19),IF(B154="Hiver",_xlfn.DAYS(A154,' Elevage'!N$16),IF(B154="Stock",_xlfn.DAYS(A154,' Elevage'!N$12),"")))))</f>
        <v/>
      </c>
    </row>
    <row r="155" spans="1:11" x14ac:dyDescent="0.5">
      <c r="A155" s="280"/>
      <c r="B155" s="279"/>
      <c r="C155" s="279"/>
      <c r="D155" s="279"/>
      <c r="E155" s="279"/>
      <c r="F155" s="281"/>
      <c r="G155" s="281"/>
      <c r="H155" s="25" t="str">
        <f t="shared" si="10"/>
        <v/>
      </c>
      <c r="I155" s="25" t="str">
        <f t="shared" si="11"/>
        <v/>
      </c>
      <c r="J155" s="26" t="str">
        <f t="shared" si="12"/>
        <v/>
      </c>
      <c r="K155" s="252" t="str">
        <f>IF(B155="Printemps",_xlfn.DAYS(A155,' Elevage'!N$17),IF(B155="Eté",_xlfn.DAYS(A155,' Elevage'!N$18),IF(B155="Automne",_xlfn.DAYS(A155,' Elevage'!N$19),IF(B155="Hiver",_xlfn.DAYS(A155,' Elevage'!N$16),IF(B155="Stock",_xlfn.DAYS(A155,' Elevage'!N$12),"")))))</f>
        <v/>
      </c>
    </row>
    <row r="156" spans="1:11" x14ac:dyDescent="0.5">
      <c r="A156" s="280"/>
      <c r="B156" s="279"/>
      <c r="C156" s="279"/>
      <c r="D156" s="279"/>
      <c r="E156" s="279"/>
      <c r="F156" s="281"/>
      <c r="G156" s="281"/>
      <c r="H156" s="25" t="str">
        <f t="shared" si="10"/>
        <v/>
      </c>
      <c r="I156" s="25" t="str">
        <f t="shared" si="11"/>
        <v/>
      </c>
      <c r="J156" s="26" t="str">
        <f t="shared" si="12"/>
        <v/>
      </c>
      <c r="K156" s="252" t="str">
        <f>IF(B156="Printemps",_xlfn.DAYS(A156,' Elevage'!N$17),IF(B156="Eté",_xlfn.DAYS(A156,' Elevage'!N$18),IF(B156="Automne",_xlfn.DAYS(A156,' Elevage'!N$19),IF(B156="Hiver",_xlfn.DAYS(A156,' Elevage'!N$16),IF(B156="Stock",_xlfn.DAYS(A156,' Elevage'!N$12),"")))))</f>
        <v/>
      </c>
    </row>
    <row r="157" spans="1:11" x14ac:dyDescent="0.5">
      <c r="A157" s="280"/>
      <c r="B157" s="279"/>
      <c r="C157" s="279"/>
      <c r="D157" s="279"/>
      <c r="E157" s="279"/>
      <c r="F157" s="281"/>
      <c r="G157" s="281"/>
      <c r="H157" s="25" t="str">
        <f t="shared" si="10"/>
        <v/>
      </c>
      <c r="I157" s="25" t="str">
        <f t="shared" si="11"/>
        <v/>
      </c>
      <c r="J157" s="26" t="str">
        <f t="shared" si="12"/>
        <v/>
      </c>
      <c r="K157" s="252" t="str">
        <f>IF(B157="Printemps",_xlfn.DAYS(A157,' Elevage'!N$17),IF(B157="Eté",_xlfn.DAYS(A157,' Elevage'!N$18),IF(B157="Automne",_xlfn.DAYS(A157,' Elevage'!N$19),IF(B157="Hiver",_xlfn.DAYS(A157,' Elevage'!N$16),IF(B157="Stock",_xlfn.DAYS(A157,' Elevage'!N$12),"")))))</f>
        <v/>
      </c>
    </row>
    <row r="158" spans="1:11" x14ac:dyDescent="0.5">
      <c r="A158" s="280"/>
      <c r="B158" s="279"/>
      <c r="C158" s="279"/>
      <c r="D158" s="279"/>
      <c r="E158" s="279"/>
      <c r="F158" s="281"/>
      <c r="G158" s="281"/>
      <c r="H158" s="25" t="str">
        <f t="shared" si="10"/>
        <v/>
      </c>
      <c r="I158" s="25" t="str">
        <f t="shared" si="11"/>
        <v/>
      </c>
      <c r="J158" s="26" t="str">
        <f t="shared" si="12"/>
        <v/>
      </c>
      <c r="K158" s="252" t="str">
        <f>IF(B158="Printemps",_xlfn.DAYS(A158,' Elevage'!N$17),IF(B158="Eté",_xlfn.DAYS(A158,' Elevage'!N$18),IF(B158="Automne",_xlfn.DAYS(A158,' Elevage'!N$19),IF(B158="Hiver",_xlfn.DAYS(A158,' Elevage'!N$16),IF(B158="Stock",_xlfn.DAYS(A158,' Elevage'!N$12),"")))))</f>
        <v/>
      </c>
    </row>
    <row r="159" spans="1:11" x14ac:dyDescent="0.5">
      <c r="A159" s="280"/>
      <c r="B159" s="279"/>
      <c r="C159" s="279"/>
      <c r="D159" s="279"/>
      <c r="E159" s="279"/>
      <c r="F159" s="281"/>
      <c r="G159" s="281"/>
      <c r="H159" s="25" t="str">
        <f t="shared" si="10"/>
        <v/>
      </c>
      <c r="I159" s="25" t="str">
        <f t="shared" si="11"/>
        <v/>
      </c>
      <c r="J159" s="26" t="str">
        <f t="shared" si="12"/>
        <v/>
      </c>
      <c r="K159" s="252" t="str">
        <f>IF(B159="Printemps",_xlfn.DAYS(A159,' Elevage'!N$17),IF(B159="Eté",_xlfn.DAYS(A159,' Elevage'!N$18),IF(B159="Automne",_xlfn.DAYS(A159,' Elevage'!N$19),IF(B159="Hiver",_xlfn.DAYS(A159,' Elevage'!N$16),IF(B159="Stock",_xlfn.DAYS(A159,' Elevage'!N$12),"")))))</f>
        <v/>
      </c>
    </row>
    <row r="160" spans="1:11" x14ac:dyDescent="0.5">
      <c r="A160" s="280"/>
      <c r="B160" s="279"/>
      <c r="C160" s="279"/>
      <c r="D160" s="279"/>
      <c r="E160" s="279"/>
      <c r="F160" s="281"/>
      <c r="G160" s="281"/>
      <c r="H160" s="25" t="str">
        <f t="shared" si="10"/>
        <v/>
      </c>
      <c r="I160" s="25" t="str">
        <f t="shared" si="11"/>
        <v/>
      </c>
      <c r="J160" s="26" t="str">
        <f t="shared" si="12"/>
        <v/>
      </c>
      <c r="K160" s="252" t="str">
        <f>IF(B160="Printemps",_xlfn.DAYS(A160,' Elevage'!N$17),IF(B160="Eté",_xlfn.DAYS(A160,' Elevage'!N$18),IF(B160="Automne",_xlfn.DAYS(A160,' Elevage'!N$19),IF(B160="Hiver",_xlfn.DAYS(A160,' Elevage'!N$16),IF(B160="Stock",_xlfn.DAYS(A160,' Elevage'!N$12),"")))))</f>
        <v/>
      </c>
    </row>
    <row r="161" spans="1:11" x14ac:dyDescent="0.5">
      <c r="A161" s="280"/>
      <c r="B161" s="279"/>
      <c r="C161" s="279"/>
      <c r="D161" s="279"/>
      <c r="E161" s="279"/>
      <c r="F161" s="281"/>
      <c r="G161" s="281"/>
      <c r="H161" s="25" t="str">
        <f t="shared" si="10"/>
        <v/>
      </c>
      <c r="I161" s="25" t="str">
        <f t="shared" si="11"/>
        <v/>
      </c>
      <c r="J161" s="26" t="str">
        <f t="shared" si="12"/>
        <v/>
      </c>
      <c r="K161" s="252" t="str">
        <f>IF(B161="Printemps",_xlfn.DAYS(A161,' Elevage'!N$17),IF(B161="Eté",_xlfn.DAYS(A161,' Elevage'!N$18),IF(B161="Automne",_xlfn.DAYS(A161,' Elevage'!N$19),IF(B161="Hiver",_xlfn.DAYS(A161,' Elevage'!N$16),IF(B161="Stock",_xlfn.DAYS(A161,' Elevage'!N$12),"")))))</f>
        <v/>
      </c>
    </row>
    <row r="162" spans="1:11" x14ac:dyDescent="0.5">
      <c r="A162" s="280"/>
      <c r="B162" s="279"/>
      <c r="C162" s="279"/>
      <c r="D162" s="279"/>
      <c r="E162" s="279"/>
      <c r="F162" s="281"/>
      <c r="G162" s="281"/>
      <c r="H162" s="25" t="str">
        <f t="shared" si="10"/>
        <v/>
      </c>
      <c r="I162" s="25" t="str">
        <f t="shared" si="11"/>
        <v/>
      </c>
      <c r="J162" s="26" t="str">
        <f t="shared" si="12"/>
        <v/>
      </c>
      <c r="K162" s="252" t="str">
        <f>IF(B162="Printemps",_xlfn.DAYS(A162,' Elevage'!N$17),IF(B162="Eté",_xlfn.DAYS(A162,' Elevage'!N$18),IF(B162="Automne",_xlfn.DAYS(A162,' Elevage'!N$19),IF(B162="Hiver",_xlfn.DAYS(A162,' Elevage'!N$16),IF(B162="Stock",_xlfn.DAYS(A162,' Elevage'!N$12),"")))))</f>
        <v/>
      </c>
    </row>
    <row r="163" spans="1:11" x14ac:dyDescent="0.5">
      <c r="A163" s="280"/>
      <c r="B163" s="279"/>
      <c r="C163" s="279"/>
      <c r="D163" s="279"/>
      <c r="E163" s="279"/>
      <c r="F163" s="281"/>
      <c r="G163" s="281"/>
      <c r="H163" s="25" t="str">
        <f t="shared" si="10"/>
        <v/>
      </c>
      <c r="I163" s="25" t="str">
        <f t="shared" si="11"/>
        <v/>
      </c>
      <c r="J163" s="26" t="str">
        <f t="shared" si="12"/>
        <v/>
      </c>
      <c r="K163" s="252" t="str">
        <f>IF(B163="Printemps",_xlfn.DAYS(A163,' Elevage'!N$17),IF(B163="Eté",_xlfn.DAYS(A163,' Elevage'!N$18),IF(B163="Automne",_xlfn.DAYS(A163,' Elevage'!N$19),IF(B163="Hiver",_xlfn.DAYS(A163,' Elevage'!N$16),IF(B163="Stock",_xlfn.DAYS(A163,' Elevage'!N$12),"")))))</f>
        <v/>
      </c>
    </row>
    <row r="164" spans="1:11" x14ac:dyDescent="0.5">
      <c r="A164" s="280"/>
      <c r="B164" s="279"/>
      <c r="C164" s="279"/>
      <c r="D164" s="279"/>
      <c r="E164" s="279"/>
      <c r="F164" s="281"/>
      <c r="G164" s="281"/>
      <c r="H164" s="25" t="str">
        <f t="shared" si="10"/>
        <v/>
      </c>
      <c r="I164" s="25" t="str">
        <f t="shared" si="11"/>
        <v/>
      </c>
      <c r="J164" s="26" t="str">
        <f t="shared" si="12"/>
        <v/>
      </c>
      <c r="K164" s="252" t="str">
        <f>IF(B164="Printemps",_xlfn.DAYS(A164,' Elevage'!N$17),IF(B164="Eté",_xlfn.DAYS(A164,' Elevage'!N$18),IF(B164="Automne",_xlfn.DAYS(A164,' Elevage'!N$19),IF(B164="Hiver",_xlfn.DAYS(A164,' Elevage'!N$16),IF(B164="Stock",_xlfn.DAYS(A164,' Elevage'!N$12),"")))))</f>
        <v/>
      </c>
    </row>
    <row r="165" spans="1:11" x14ac:dyDescent="0.5">
      <c r="A165" s="280"/>
      <c r="B165" s="279"/>
      <c r="C165" s="279"/>
      <c r="D165" s="279"/>
      <c r="E165" s="279"/>
      <c r="F165" s="281"/>
      <c r="G165" s="281"/>
      <c r="H165" s="25" t="str">
        <f t="shared" si="10"/>
        <v/>
      </c>
      <c r="I165" s="25" t="str">
        <f t="shared" si="11"/>
        <v/>
      </c>
      <c r="J165" s="26" t="str">
        <f t="shared" si="12"/>
        <v/>
      </c>
      <c r="K165" s="252" t="str">
        <f>IF(B165="Printemps",_xlfn.DAYS(A165,' Elevage'!N$17),IF(B165="Eté",_xlfn.DAYS(A165,' Elevage'!N$18),IF(B165="Automne",_xlfn.DAYS(A165,' Elevage'!N$19),IF(B165="Hiver",_xlfn.DAYS(A165,' Elevage'!N$16),IF(B165="Stock",_xlfn.DAYS(A165,' Elevage'!N$12),"")))))</f>
        <v/>
      </c>
    </row>
    <row r="166" spans="1:11" x14ac:dyDescent="0.5">
      <c r="A166" s="280"/>
      <c r="B166" s="279"/>
      <c r="C166" s="279"/>
      <c r="D166" s="279"/>
      <c r="E166" s="279"/>
      <c r="F166" s="281"/>
      <c r="G166" s="281"/>
      <c r="H166" s="25" t="str">
        <f t="shared" si="10"/>
        <v/>
      </c>
      <c r="I166" s="25" t="str">
        <f t="shared" si="11"/>
        <v/>
      </c>
      <c r="J166" s="26" t="str">
        <f t="shared" si="12"/>
        <v/>
      </c>
      <c r="K166" s="252" t="str">
        <f>IF(B166="Printemps",_xlfn.DAYS(A166,' Elevage'!N$17),IF(B166="Eté",_xlfn.DAYS(A166,' Elevage'!N$18),IF(B166="Automne",_xlfn.DAYS(A166,' Elevage'!N$19),IF(B166="Hiver",_xlfn.DAYS(A166,' Elevage'!N$16),IF(B166="Stock",_xlfn.DAYS(A166,' Elevage'!N$12),"")))))</f>
        <v/>
      </c>
    </row>
    <row r="167" spans="1:11" x14ac:dyDescent="0.5">
      <c r="A167" s="280"/>
      <c r="B167" s="279"/>
      <c r="C167" s="279"/>
      <c r="D167" s="279"/>
      <c r="E167" s="279"/>
      <c r="F167" s="281"/>
      <c r="G167" s="281"/>
      <c r="H167" s="25" t="str">
        <f t="shared" si="10"/>
        <v/>
      </c>
      <c r="I167" s="25" t="str">
        <f t="shared" si="11"/>
        <v/>
      </c>
      <c r="J167" s="26" t="str">
        <f t="shared" si="12"/>
        <v/>
      </c>
      <c r="K167" s="252" t="str">
        <f>IF(B167="Printemps",_xlfn.DAYS(A167,' Elevage'!N$17),IF(B167="Eté",_xlfn.DAYS(A167,' Elevage'!N$18),IF(B167="Automne",_xlfn.DAYS(A167,' Elevage'!N$19),IF(B167="Hiver",_xlfn.DAYS(A167,' Elevage'!N$16),IF(B167="Stock",_xlfn.DAYS(A167,' Elevage'!N$12),"")))))</f>
        <v/>
      </c>
    </row>
    <row r="168" spans="1:11" x14ac:dyDescent="0.5">
      <c r="A168" s="280"/>
      <c r="B168" s="279"/>
      <c r="C168" s="279"/>
      <c r="D168" s="279"/>
      <c r="E168" s="279"/>
      <c r="F168" s="281"/>
      <c r="G168" s="281"/>
      <c r="H168" s="25" t="str">
        <f t="shared" si="10"/>
        <v/>
      </c>
      <c r="I168" s="25" t="str">
        <f t="shared" si="11"/>
        <v/>
      </c>
      <c r="J168" s="26" t="str">
        <f t="shared" si="12"/>
        <v/>
      </c>
      <c r="K168" s="252" t="str">
        <f>IF(B168="Printemps",_xlfn.DAYS(A168,' Elevage'!N$17),IF(B168="Eté",_xlfn.DAYS(A168,' Elevage'!N$18),IF(B168="Automne",_xlfn.DAYS(A168,' Elevage'!N$19),IF(B168="Hiver",_xlfn.DAYS(A168,' Elevage'!N$16),IF(B168="Stock",_xlfn.DAYS(A168,' Elevage'!N$12),"")))))</f>
        <v/>
      </c>
    </row>
    <row r="169" spans="1:11" x14ac:dyDescent="0.5">
      <c r="A169" s="280"/>
      <c r="B169" s="279"/>
      <c r="C169" s="279"/>
      <c r="D169" s="279"/>
      <c r="E169" s="279"/>
      <c r="F169" s="281"/>
      <c r="G169" s="281"/>
      <c r="H169" s="25" t="str">
        <f t="shared" si="10"/>
        <v/>
      </c>
      <c r="I169" s="25" t="str">
        <f t="shared" si="11"/>
        <v/>
      </c>
      <c r="J169" s="26" t="str">
        <f t="shared" si="12"/>
        <v/>
      </c>
      <c r="K169" s="252" t="str">
        <f>IF(B169="Printemps",_xlfn.DAYS(A169,' Elevage'!N$17),IF(B169="Eté",_xlfn.DAYS(A169,' Elevage'!N$18),IF(B169="Automne",_xlfn.DAYS(A169,' Elevage'!N$19),IF(B169="Hiver",_xlfn.DAYS(A169,' Elevage'!N$16),IF(B169="Stock",_xlfn.DAYS(A169,' Elevage'!N$12),"")))))</f>
        <v/>
      </c>
    </row>
    <row r="170" spans="1:11" x14ac:dyDescent="0.5">
      <c r="A170" s="280"/>
      <c r="B170" s="279"/>
      <c r="C170" s="279"/>
      <c r="D170" s="279"/>
      <c r="E170" s="279"/>
      <c r="F170" s="281"/>
      <c r="G170" s="281"/>
      <c r="H170" s="25" t="str">
        <f t="shared" si="10"/>
        <v/>
      </c>
      <c r="I170" s="25" t="str">
        <f t="shared" si="11"/>
        <v/>
      </c>
      <c r="J170" s="26" t="str">
        <f t="shared" si="12"/>
        <v/>
      </c>
      <c r="K170" s="252" t="str">
        <f>IF(B170="Printemps",_xlfn.DAYS(A170,' Elevage'!N$17),IF(B170="Eté",_xlfn.DAYS(A170,' Elevage'!N$18),IF(B170="Automne",_xlfn.DAYS(A170,' Elevage'!N$19),IF(B170="Hiver",_xlfn.DAYS(A170,' Elevage'!N$16),IF(B170="Stock",_xlfn.DAYS(A170,' Elevage'!N$12),"")))))</f>
        <v/>
      </c>
    </row>
    <row r="171" spans="1:11" x14ac:dyDescent="0.5">
      <c r="A171" s="280"/>
      <c r="B171" s="279"/>
      <c r="C171" s="279"/>
      <c r="D171" s="279"/>
      <c r="E171" s="279"/>
      <c r="F171" s="281"/>
      <c r="G171" s="281"/>
      <c r="H171" s="25" t="str">
        <f t="shared" si="10"/>
        <v/>
      </c>
      <c r="I171" s="25" t="str">
        <f t="shared" si="11"/>
        <v/>
      </c>
      <c r="J171" s="26" t="str">
        <f t="shared" si="12"/>
        <v/>
      </c>
      <c r="K171" s="252" t="str">
        <f>IF(B171="Printemps",_xlfn.DAYS(A171,' Elevage'!N$17),IF(B171="Eté",_xlfn.DAYS(A171,' Elevage'!N$18),IF(B171="Automne",_xlfn.DAYS(A171,' Elevage'!N$19),IF(B171="Hiver",_xlfn.DAYS(A171,' Elevage'!N$16),IF(B171="Stock",_xlfn.DAYS(A171,' Elevage'!N$12),"")))))</f>
        <v/>
      </c>
    </row>
    <row r="172" spans="1:11" x14ac:dyDescent="0.5">
      <c r="A172" s="280"/>
      <c r="B172" s="279"/>
      <c r="C172" s="279"/>
      <c r="D172" s="279"/>
      <c r="E172" s="279"/>
      <c r="F172" s="281"/>
      <c r="G172" s="281"/>
      <c r="H172" s="25" t="str">
        <f t="shared" si="10"/>
        <v/>
      </c>
      <c r="I172" s="25" t="str">
        <f t="shared" si="11"/>
        <v/>
      </c>
      <c r="J172" s="26" t="str">
        <f t="shared" si="12"/>
        <v/>
      </c>
      <c r="K172" s="252" t="str">
        <f>IF(B172="Printemps",_xlfn.DAYS(A172,' Elevage'!N$17),IF(B172="Eté",_xlfn.DAYS(A172,' Elevage'!N$18),IF(B172="Automne",_xlfn.DAYS(A172,' Elevage'!N$19),IF(B172="Hiver",_xlfn.DAYS(A172,' Elevage'!N$16),IF(B172="Stock",_xlfn.DAYS(A172,' Elevage'!N$12),"")))))</f>
        <v/>
      </c>
    </row>
    <row r="173" spans="1:11" x14ac:dyDescent="0.5">
      <c r="A173" s="280"/>
      <c r="B173" s="279"/>
      <c r="C173" s="279"/>
      <c r="D173" s="279"/>
      <c r="E173" s="279"/>
      <c r="F173" s="281"/>
      <c r="G173" s="281"/>
      <c r="H173" s="25" t="str">
        <f t="shared" si="10"/>
        <v/>
      </c>
      <c r="I173" s="25" t="str">
        <f t="shared" si="11"/>
        <v/>
      </c>
      <c r="J173" s="26" t="str">
        <f t="shared" si="12"/>
        <v/>
      </c>
      <c r="K173" s="252" t="str">
        <f>IF(B173="Printemps",_xlfn.DAYS(A173,' Elevage'!N$17),IF(B173="Eté",_xlfn.DAYS(A173,' Elevage'!N$18),IF(B173="Automne",_xlfn.DAYS(A173,' Elevage'!N$19),IF(B173="Hiver",_xlfn.DAYS(A173,' Elevage'!N$16),IF(B173="Stock",_xlfn.DAYS(A173,' Elevage'!N$12),"")))))</f>
        <v/>
      </c>
    </row>
    <row r="174" spans="1:11" x14ac:dyDescent="0.5">
      <c r="A174" s="280"/>
      <c r="B174" s="279"/>
      <c r="C174" s="279"/>
      <c r="D174" s="279"/>
      <c r="E174" s="279"/>
      <c r="F174" s="281"/>
      <c r="G174" s="281"/>
      <c r="H174" s="25" t="str">
        <f t="shared" si="10"/>
        <v/>
      </c>
      <c r="I174" s="25" t="str">
        <f t="shared" si="11"/>
        <v/>
      </c>
      <c r="J174" s="26" t="str">
        <f t="shared" si="12"/>
        <v/>
      </c>
      <c r="K174" s="252" t="str">
        <f>IF(B174="Printemps",_xlfn.DAYS(A174,' Elevage'!N$17),IF(B174="Eté",_xlfn.DAYS(A174,' Elevage'!N$18),IF(B174="Automne",_xlfn.DAYS(A174,' Elevage'!N$19),IF(B174="Hiver",_xlfn.DAYS(A174,' Elevage'!N$16),IF(B174="Stock",_xlfn.DAYS(A174,' Elevage'!N$12),"")))))</f>
        <v/>
      </c>
    </row>
    <row r="175" spans="1:11" x14ac:dyDescent="0.5">
      <c r="A175" s="280"/>
      <c r="B175" s="279"/>
      <c r="C175" s="279"/>
      <c r="D175" s="279"/>
      <c r="E175" s="279"/>
      <c r="F175" s="281"/>
      <c r="G175" s="281"/>
      <c r="H175" s="25" t="str">
        <f t="shared" si="10"/>
        <v/>
      </c>
      <c r="I175" s="25" t="str">
        <f t="shared" si="11"/>
        <v/>
      </c>
      <c r="J175" s="26" t="str">
        <f t="shared" si="12"/>
        <v/>
      </c>
      <c r="K175" s="252" t="str">
        <f>IF(B175="Printemps",_xlfn.DAYS(A175,' Elevage'!N$17),IF(B175="Eté",_xlfn.DAYS(A175,' Elevage'!N$18),IF(B175="Automne",_xlfn.DAYS(A175,' Elevage'!N$19),IF(B175="Hiver",_xlfn.DAYS(A175,' Elevage'!N$16),IF(B175="Stock",_xlfn.DAYS(A175,' Elevage'!N$12),"")))))</f>
        <v/>
      </c>
    </row>
    <row r="176" spans="1:11" x14ac:dyDescent="0.5">
      <c r="A176" s="280"/>
      <c r="B176" s="279"/>
      <c r="C176" s="279"/>
      <c r="D176" s="279"/>
      <c r="E176" s="279"/>
      <c r="F176" s="281"/>
      <c r="G176" s="281"/>
      <c r="H176" s="25" t="str">
        <f t="shared" si="10"/>
        <v/>
      </c>
      <c r="I176" s="25" t="str">
        <f t="shared" si="11"/>
        <v/>
      </c>
      <c r="J176" s="26" t="str">
        <f t="shared" si="12"/>
        <v/>
      </c>
      <c r="K176" s="252" t="str">
        <f>IF(B176="Printemps",_xlfn.DAYS(A176,' Elevage'!N$17),IF(B176="Eté",_xlfn.DAYS(A176,' Elevage'!N$18),IF(B176="Automne",_xlfn.DAYS(A176,' Elevage'!N$19),IF(B176="Hiver",_xlfn.DAYS(A176,' Elevage'!N$16),IF(B176="Stock",_xlfn.DAYS(A176,' Elevage'!N$12),"")))))</f>
        <v/>
      </c>
    </row>
    <row r="177" spans="1:11" x14ac:dyDescent="0.5">
      <c r="A177" s="280"/>
      <c r="B177" s="279"/>
      <c r="C177" s="279"/>
      <c r="D177" s="279"/>
      <c r="E177" s="279"/>
      <c r="F177" s="281"/>
      <c r="G177" s="281"/>
      <c r="H177" s="25" t="str">
        <f t="shared" si="10"/>
        <v/>
      </c>
      <c r="I177" s="25" t="str">
        <f t="shared" si="11"/>
        <v/>
      </c>
      <c r="J177" s="26" t="str">
        <f t="shared" si="12"/>
        <v/>
      </c>
      <c r="K177" s="252" t="str">
        <f>IF(B177="Printemps",_xlfn.DAYS(A177,' Elevage'!N$17),IF(B177="Eté",_xlfn.DAYS(A177,' Elevage'!N$18),IF(B177="Automne",_xlfn.DAYS(A177,' Elevage'!N$19),IF(B177="Hiver",_xlfn.DAYS(A177,' Elevage'!N$16),IF(B177="Stock",_xlfn.DAYS(A177,' Elevage'!N$12),"")))))</f>
        <v/>
      </c>
    </row>
    <row r="178" spans="1:11" x14ac:dyDescent="0.5">
      <c r="A178" s="280"/>
      <c r="B178" s="279"/>
      <c r="C178" s="279"/>
      <c r="D178" s="279"/>
      <c r="E178" s="279"/>
      <c r="F178" s="281"/>
      <c r="G178" s="281"/>
      <c r="H178" s="25" t="str">
        <f t="shared" si="10"/>
        <v/>
      </c>
      <c r="I178" s="25" t="str">
        <f t="shared" si="11"/>
        <v/>
      </c>
      <c r="J178" s="26" t="str">
        <f t="shared" si="12"/>
        <v/>
      </c>
      <c r="K178" s="252" t="str">
        <f>IF(B178="Printemps",_xlfn.DAYS(A178,' Elevage'!N$17),IF(B178="Eté",_xlfn.DAYS(A178,' Elevage'!N$18),IF(B178="Automne",_xlfn.DAYS(A178,' Elevage'!N$19),IF(B178="Hiver",_xlfn.DAYS(A178,' Elevage'!N$16),IF(B178="Stock",_xlfn.DAYS(A178,' Elevage'!N$12),"")))))</f>
        <v/>
      </c>
    </row>
    <row r="179" spans="1:11" x14ac:dyDescent="0.5">
      <c r="A179" s="280"/>
      <c r="B179" s="279"/>
      <c r="C179" s="279"/>
      <c r="D179" s="279"/>
      <c r="E179" s="279"/>
      <c r="F179" s="281"/>
      <c r="G179" s="281"/>
      <c r="H179" s="25" t="str">
        <f t="shared" si="10"/>
        <v/>
      </c>
      <c r="I179" s="25" t="str">
        <f t="shared" si="11"/>
        <v/>
      </c>
      <c r="J179" s="26" t="str">
        <f t="shared" si="12"/>
        <v/>
      </c>
      <c r="K179" s="252" t="str">
        <f>IF(B179="Printemps",_xlfn.DAYS(A179,' Elevage'!N$17),IF(B179="Eté",_xlfn.DAYS(A179,' Elevage'!N$18),IF(B179="Automne",_xlfn.DAYS(A179,' Elevage'!N$19),IF(B179="Hiver",_xlfn.DAYS(A179,' Elevage'!N$16),IF(B179="Stock",_xlfn.DAYS(A179,' Elevage'!N$12),"")))))</f>
        <v/>
      </c>
    </row>
    <row r="180" spans="1:11" x14ac:dyDescent="0.5">
      <c r="A180" s="280"/>
      <c r="B180" s="279"/>
      <c r="C180" s="279"/>
      <c r="D180" s="279"/>
      <c r="E180" s="279"/>
      <c r="F180" s="281"/>
      <c r="G180" s="281"/>
      <c r="H180" s="25" t="str">
        <f t="shared" si="10"/>
        <v/>
      </c>
      <c r="I180" s="25" t="str">
        <f t="shared" si="11"/>
        <v/>
      </c>
      <c r="J180" s="26" t="str">
        <f t="shared" si="12"/>
        <v/>
      </c>
      <c r="K180" s="252" t="str">
        <f>IF(B180="Printemps",_xlfn.DAYS(A180,' Elevage'!N$17),IF(B180="Eté",_xlfn.DAYS(A180,' Elevage'!N$18),IF(B180="Automne",_xlfn.DAYS(A180,' Elevage'!N$19),IF(B180="Hiver",_xlfn.DAYS(A180,' Elevage'!N$16),IF(B180="Stock",_xlfn.DAYS(A180,' Elevage'!N$12),"")))))</f>
        <v/>
      </c>
    </row>
    <row r="181" spans="1:11" x14ac:dyDescent="0.5">
      <c r="A181" s="280"/>
      <c r="B181" s="279"/>
      <c r="C181" s="279"/>
      <c r="D181" s="279"/>
      <c r="E181" s="279"/>
      <c r="F181" s="281"/>
      <c r="G181" s="281"/>
      <c r="H181" s="25" t="str">
        <f t="shared" si="10"/>
        <v/>
      </c>
      <c r="I181" s="25" t="str">
        <f t="shared" si="11"/>
        <v/>
      </c>
      <c r="J181" s="26" t="str">
        <f t="shared" si="12"/>
        <v/>
      </c>
      <c r="K181" s="252" t="str">
        <f>IF(B181="Printemps",_xlfn.DAYS(A181,' Elevage'!N$17),IF(B181="Eté",_xlfn.DAYS(A181,' Elevage'!N$18),IF(B181="Automne",_xlfn.DAYS(A181,' Elevage'!N$19),IF(B181="Hiver",_xlfn.DAYS(A181,' Elevage'!N$16),IF(B181="Stock",_xlfn.DAYS(A181,' Elevage'!N$12),"")))))</f>
        <v/>
      </c>
    </row>
    <row r="182" spans="1:11" x14ac:dyDescent="0.5">
      <c r="A182" s="280"/>
      <c r="B182" s="279"/>
      <c r="C182" s="279"/>
      <c r="D182" s="279"/>
      <c r="E182" s="279"/>
      <c r="F182" s="281"/>
      <c r="G182" s="281"/>
      <c r="H182" s="25" t="str">
        <f t="shared" si="10"/>
        <v/>
      </c>
      <c r="I182" s="25" t="str">
        <f t="shared" si="11"/>
        <v/>
      </c>
      <c r="J182" s="26" t="str">
        <f t="shared" si="12"/>
        <v/>
      </c>
      <c r="K182" s="252" t="str">
        <f>IF(B182="Printemps",_xlfn.DAYS(A182,' Elevage'!N$17),IF(B182="Eté",_xlfn.DAYS(A182,' Elevage'!N$18),IF(B182="Automne",_xlfn.DAYS(A182,' Elevage'!N$19),IF(B182="Hiver",_xlfn.DAYS(A182,' Elevage'!N$16),IF(B182="Stock",_xlfn.DAYS(A182,' Elevage'!N$12),"")))))</f>
        <v/>
      </c>
    </row>
    <row r="183" spans="1:11" x14ac:dyDescent="0.5">
      <c r="A183" s="280"/>
      <c r="B183" s="279"/>
      <c r="C183" s="279"/>
      <c r="D183" s="279"/>
      <c r="E183" s="279"/>
      <c r="F183" s="281"/>
      <c r="G183" s="281"/>
      <c r="H183" s="25" t="str">
        <f t="shared" si="10"/>
        <v/>
      </c>
      <c r="I183" s="25" t="str">
        <f t="shared" si="11"/>
        <v/>
      </c>
      <c r="J183" s="26" t="str">
        <f t="shared" si="12"/>
        <v/>
      </c>
      <c r="K183" s="252" t="str">
        <f>IF(B183="Printemps",_xlfn.DAYS(A183,' Elevage'!N$17),IF(B183="Eté",_xlfn.DAYS(A183,' Elevage'!N$18),IF(B183="Automne",_xlfn.DAYS(A183,' Elevage'!N$19),IF(B183="Hiver",_xlfn.DAYS(A183,' Elevage'!N$16),IF(B183="Stock",_xlfn.DAYS(A183,' Elevage'!N$12),"")))))</f>
        <v/>
      </c>
    </row>
    <row r="184" spans="1:11" x14ac:dyDescent="0.5">
      <c r="A184" s="280"/>
      <c r="B184" s="279"/>
      <c r="C184" s="279"/>
      <c r="D184" s="279"/>
      <c r="E184" s="279"/>
      <c r="F184" s="281"/>
      <c r="G184" s="281"/>
      <c r="H184" s="25" t="str">
        <f t="shared" si="10"/>
        <v/>
      </c>
      <c r="I184" s="25" t="str">
        <f t="shared" si="11"/>
        <v/>
      </c>
      <c r="J184" s="26" t="str">
        <f t="shared" si="12"/>
        <v/>
      </c>
      <c r="K184" s="252" t="str">
        <f>IF(B184="Printemps",_xlfn.DAYS(A184,' Elevage'!N$17),IF(B184="Eté",_xlfn.DAYS(A184,' Elevage'!N$18),IF(B184="Automne",_xlfn.DAYS(A184,' Elevage'!N$19),IF(B184="Hiver",_xlfn.DAYS(A184,' Elevage'!N$16),IF(B184="Stock",_xlfn.DAYS(A184,' Elevage'!N$12),"")))))</f>
        <v/>
      </c>
    </row>
    <row r="185" spans="1:11" x14ac:dyDescent="0.5">
      <c r="A185" s="280"/>
      <c r="B185" s="279"/>
      <c r="C185" s="279"/>
      <c r="D185" s="279"/>
      <c r="E185" s="279"/>
      <c r="F185" s="281"/>
      <c r="G185" s="281"/>
      <c r="H185" s="25" t="str">
        <f t="shared" si="10"/>
        <v/>
      </c>
      <c r="I185" s="25" t="str">
        <f t="shared" si="11"/>
        <v/>
      </c>
      <c r="J185" s="26" t="str">
        <f t="shared" si="12"/>
        <v/>
      </c>
      <c r="K185" s="252" t="str">
        <f>IF(B185="Printemps",_xlfn.DAYS(A185,' Elevage'!N$17),IF(B185="Eté",_xlfn.DAYS(A185,' Elevage'!N$18),IF(B185="Automne",_xlfn.DAYS(A185,' Elevage'!N$19),IF(B185="Hiver",_xlfn.DAYS(A185,' Elevage'!N$16),IF(B185="Stock",_xlfn.DAYS(A185,' Elevage'!N$12),"")))))</f>
        <v/>
      </c>
    </row>
    <row r="186" spans="1:11" x14ac:dyDescent="0.5">
      <c r="A186" s="280"/>
      <c r="B186" s="279"/>
      <c r="C186" s="279"/>
      <c r="D186" s="279"/>
      <c r="E186" s="279"/>
      <c r="F186" s="281"/>
      <c r="G186" s="281"/>
      <c r="H186" s="25" t="str">
        <f t="shared" si="10"/>
        <v/>
      </c>
      <c r="I186" s="25" t="str">
        <f t="shared" si="11"/>
        <v/>
      </c>
      <c r="J186" s="26" t="str">
        <f t="shared" si="12"/>
        <v/>
      </c>
      <c r="K186" s="252" t="str">
        <f>IF(B186="Printemps",_xlfn.DAYS(A186,' Elevage'!N$17),IF(B186="Eté",_xlfn.DAYS(A186,' Elevage'!N$18),IF(B186="Automne",_xlfn.DAYS(A186,' Elevage'!N$19),IF(B186="Hiver",_xlfn.DAYS(A186,' Elevage'!N$16),IF(B186="Stock",_xlfn.DAYS(A186,' Elevage'!N$12),"")))))</f>
        <v/>
      </c>
    </row>
    <row r="187" spans="1:11" x14ac:dyDescent="0.5">
      <c r="A187" s="280"/>
      <c r="B187" s="279"/>
      <c r="C187" s="279"/>
      <c r="D187" s="279"/>
      <c r="E187" s="279"/>
      <c r="F187" s="281"/>
      <c r="G187" s="281"/>
      <c r="H187" s="25" t="str">
        <f t="shared" si="10"/>
        <v/>
      </c>
      <c r="I187" s="25" t="str">
        <f t="shared" si="11"/>
        <v/>
      </c>
      <c r="J187" s="26" t="str">
        <f t="shared" si="12"/>
        <v/>
      </c>
      <c r="K187" s="252" t="str">
        <f>IF(B187="Printemps",_xlfn.DAYS(A187,' Elevage'!N$17),IF(B187="Eté",_xlfn.DAYS(A187,' Elevage'!N$18),IF(B187="Automne",_xlfn.DAYS(A187,' Elevage'!N$19),IF(B187="Hiver",_xlfn.DAYS(A187,' Elevage'!N$16),IF(B187="Stock",_xlfn.DAYS(A187,' Elevage'!N$12),"")))))</f>
        <v/>
      </c>
    </row>
    <row r="188" spans="1:11" x14ac:dyDescent="0.5">
      <c r="A188" s="280"/>
      <c r="B188" s="279"/>
      <c r="C188" s="279"/>
      <c r="D188" s="279"/>
      <c r="E188" s="279"/>
      <c r="F188" s="281"/>
      <c r="G188" s="281"/>
      <c r="H188" s="25" t="str">
        <f t="shared" si="10"/>
        <v/>
      </c>
      <c r="I188" s="25" t="str">
        <f t="shared" si="11"/>
        <v/>
      </c>
      <c r="J188" s="26" t="str">
        <f t="shared" si="12"/>
        <v/>
      </c>
      <c r="K188" s="252" t="str">
        <f>IF(B188="Printemps",_xlfn.DAYS(A188,' Elevage'!N$17),IF(B188="Eté",_xlfn.DAYS(A188,' Elevage'!N$18),IF(B188="Automne",_xlfn.DAYS(A188,' Elevage'!N$19),IF(B188="Hiver",_xlfn.DAYS(A188,' Elevage'!N$16),IF(B188="Stock",_xlfn.DAYS(A188,' Elevage'!N$12),"")))))</f>
        <v/>
      </c>
    </row>
    <row r="189" spans="1:11" x14ac:dyDescent="0.5">
      <c r="A189" s="280"/>
      <c r="B189" s="279"/>
      <c r="C189" s="279"/>
      <c r="D189" s="279"/>
      <c r="E189" s="279"/>
      <c r="F189" s="281"/>
      <c r="G189" s="281"/>
      <c r="H189" s="25" t="str">
        <f t="shared" si="10"/>
        <v/>
      </c>
      <c r="I189" s="25" t="str">
        <f t="shared" si="11"/>
        <v/>
      </c>
      <c r="J189" s="26" t="str">
        <f t="shared" si="12"/>
        <v/>
      </c>
      <c r="K189" s="252" t="str">
        <f>IF(B189="Printemps",_xlfn.DAYS(A189,' Elevage'!N$17),IF(B189="Eté",_xlfn.DAYS(A189,' Elevage'!N$18),IF(B189="Automne",_xlfn.DAYS(A189,' Elevage'!N$19),IF(B189="Hiver",_xlfn.DAYS(A189,' Elevage'!N$16),IF(B189="Stock",_xlfn.DAYS(A189,' Elevage'!N$12),"")))))</f>
        <v/>
      </c>
    </row>
    <row r="190" spans="1:11" x14ac:dyDescent="0.5">
      <c r="A190" s="280"/>
      <c r="B190" s="279"/>
      <c r="C190" s="279"/>
      <c r="D190" s="279"/>
      <c r="E190" s="279"/>
      <c r="F190" s="281"/>
      <c r="G190" s="281"/>
      <c r="H190" s="25" t="str">
        <f t="shared" si="10"/>
        <v/>
      </c>
      <c r="I190" s="25" t="str">
        <f t="shared" si="11"/>
        <v/>
      </c>
      <c r="J190" s="26" t="str">
        <f t="shared" si="12"/>
        <v/>
      </c>
      <c r="K190" s="252" t="str">
        <f>IF(B190="Printemps",_xlfn.DAYS(A190,' Elevage'!N$17),IF(B190="Eté",_xlfn.DAYS(A190,' Elevage'!N$18),IF(B190="Automne",_xlfn.DAYS(A190,' Elevage'!N$19),IF(B190="Hiver",_xlfn.DAYS(A190,' Elevage'!N$16),IF(B190="Stock",_xlfn.DAYS(A190,' Elevage'!N$12),"")))))</f>
        <v/>
      </c>
    </row>
    <row r="191" spans="1:11" x14ac:dyDescent="0.5">
      <c r="A191" s="280"/>
      <c r="B191" s="279"/>
      <c r="C191" s="279"/>
      <c r="D191" s="279"/>
      <c r="E191" s="279"/>
      <c r="F191" s="281"/>
      <c r="G191" s="281"/>
      <c r="H191" s="25" t="str">
        <f t="shared" si="10"/>
        <v/>
      </c>
      <c r="I191" s="25" t="str">
        <f t="shared" si="11"/>
        <v/>
      </c>
      <c r="J191" s="26" t="str">
        <f t="shared" si="12"/>
        <v/>
      </c>
      <c r="K191" s="252" t="str">
        <f>IF(B191="Printemps",_xlfn.DAYS(A191,' Elevage'!N$17),IF(B191="Eté",_xlfn.DAYS(A191,' Elevage'!N$18),IF(B191="Automne",_xlfn.DAYS(A191,' Elevage'!N$19),IF(B191="Hiver",_xlfn.DAYS(A191,' Elevage'!N$16),IF(B191="Stock",_xlfn.DAYS(A191,' Elevage'!N$12),"")))))</f>
        <v/>
      </c>
    </row>
    <row r="192" spans="1:11" x14ac:dyDescent="0.5">
      <c r="A192" s="280"/>
      <c r="B192" s="279"/>
      <c r="C192" s="279"/>
      <c r="D192" s="279"/>
      <c r="E192" s="279"/>
      <c r="F192" s="281"/>
      <c r="G192" s="281"/>
      <c r="H192" s="25" t="str">
        <f t="shared" si="10"/>
        <v/>
      </c>
      <c r="I192" s="25" t="str">
        <f t="shared" si="11"/>
        <v/>
      </c>
      <c r="J192" s="26" t="str">
        <f t="shared" si="12"/>
        <v/>
      </c>
      <c r="K192" s="252" t="str">
        <f>IF(B192="Printemps",_xlfn.DAYS(A192,' Elevage'!N$17),IF(B192="Eté",_xlfn.DAYS(A192,' Elevage'!N$18),IF(B192="Automne",_xlfn.DAYS(A192,' Elevage'!N$19),IF(B192="Hiver",_xlfn.DAYS(A192,' Elevage'!N$16),IF(B192="Stock",_xlfn.DAYS(A192,' Elevage'!N$12),"")))))</f>
        <v/>
      </c>
    </row>
    <row r="193" spans="1:11" x14ac:dyDescent="0.5">
      <c r="A193" s="280"/>
      <c r="B193" s="279"/>
      <c r="C193" s="279"/>
      <c r="D193" s="279"/>
      <c r="E193" s="279"/>
      <c r="F193" s="281"/>
      <c r="G193" s="281"/>
      <c r="H193" s="25" t="str">
        <f t="shared" si="10"/>
        <v/>
      </c>
      <c r="I193" s="25" t="str">
        <f t="shared" si="11"/>
        <v/>
      </c>
      <c r="J193" s="26" t="str">
        <f t="shared" si="12"/>
        <v/>
      </c>
      <c r="K193" s="252" t="str">
        <f>IF(B193="Printemps",_xlfn.DAYS(A193,' Elevage'!N$17),IF(B193="Eté",_xlfn.DAYS(A193,' Elevage'!N$18),IF(B193="Automne",_xlfn.DAYS(A193,' Elevage'!N$19),IF(B193="Hiver",_xlfn.DAYS(A193,' Elevage'!N$16),IF(B193="Stock",_xlfn.DAYS(A193,' Elevage'!N$12),"")))))</f>
        <v/>
      </c>
    </row>
    <row r="194" spans="1:11" x14ac:dyDescent="0.5">
      <c r="A194" s="280"/>
      <c r="B194" s="279"/>
      <c r="C194" s="279"/>
      <c r="D194" s="279"/>
      <c r="E194" s="279"/>
      <c r="F194" s="281"/>
      <c r="G194" s="281"/>
      <c r="H194" s="25" t="str">
        <f t="shared" si="10"/>
        <v/>
      </c>
      <c r="I194" s="25" t="str">
        <f t="shared" si="11"/>
        <v/>
      </c>
      <c r="J194" s="26" t="str">
        <f t="shared" si="12"/>
        <v/>
      </c>
      <c r="K194" s="252" t="str">
        <f>IF(B194="Printemps",_xlfn.DAYS(A194,' Elevage'!N$17),IF(B194="Eté",_xlfn.DAYS(A194,' Elevage'!N$18),IF(B194="Automne",_xlfn.DAYS(A194,' Elevage'!N$19),IF(B194="Hiver",_xlfn.DAYS(A194,' Elevage'!N$16),IF(B194="Stock",_xlfn.DAYS(A194,' Elevage'!N$12),"")))))</f>
        <v/>
      </c>
    </row>
    <row r="195" spans="1:11" x14ac:dyDescent="0.5">
      <c r="A195" s="280"/>
      <c r="B195" s="279"/>
      <c r="C195" s="279"/>
      <c r="D195" s="279"/>
      <c r="E195" s="279"/>
      <c r="F195" s="281"/>
      <c r="G195" s="281"/>
      <c r="H195" s="25" t="str">
        <f t="shared" si="10"/>
        <v/>
      </c>
      <c r="I195" s="25" t="str">
        <f t="shared" si="11"/>
        <v/>
      </c>
      <c r="J195" s="26" t="str">
        <f t="shared" si="12"/>
        <v/>
      </c>
      <c r="K195" s="252" t="str">
        <f>IF(B195="Printemps",_xlfn.DAYS(A195,' Elevage'!N$17),IF(B195="Eté",_xlfn.DAYS(A195,' Elevage'!N$18),IF(B195="Automne",_xlfn.DAYS(A195,' Elevage'!N$19),IF(B195="Hiver",_xlfn.DAYS(A195,' Elevage'!N$16),IF(B195="Stock",_xlfn.DAYS(A195,' Elevage'!N$12),"")))))</f>
        <v/>
      </c>
    </row>
    <row r="196" spans="1:11" x14ac:dyDescent="0.5">
      <c r="A196" s="280"/>
      <c r="B196" s="279"/>
      <c r="C196" s="279"/>
      <c r="D196" s="279"/>
      <c r="E196" s="279"/>
      <c r="F196" s="281"/>
      <c r="G196" s="281"/>
      <c r="H196" s="25" t="str">
        <f t="shared" si="10"/>
        <v/>
      </c>
      <c r="I196" s="25" t="str">
        <f t="shared" si="11"/>
        <v/>
      </c>
      <c r="J196" s="26" t="str">
        <f t="shared" si="12"/>
        <v/>
      </c>
      <c r="K196" s="252" t="str">
        <f>IF(B196="Printemps",_xlfn.DAYS(A196,' Elevage'!N$17),IF(B196="Eté",_xlfn.DAYS(A196,' Elevage'!N$18),IF(B196="Automne",_xlfn.DAYS(A196,' Elevage'!N$19),IF(B196="Hiver",_xlfn.DAYS(A196,' Elevage'!N$16),IF(B196="Stock",_xlfn.DAYS(A196,' Elevage'!N$12),"")))))</f>
        <v/>
      </c>
    </row>
    <row r="197" spans="1:11" x14ac:dyDescent="0.5">
      <c r="A197" s="280"/>
      <c r="B197" s="279"/>
      <c r="C197" s="279"/>
      <c r="D197" s="279"/>
      <c r="E197" s="279"/>
      <c r="F197" s="281"/>
      <c r="G197" s="281"/>
      <c r="H197" s="25" t="str">
        <f t="shared" si="10"/>
        <v/>
      </c>
      <c r="I197" s="25" t="str">
        <f t="shared" si="11"/>
        <v/>
      </c>
      <c r="J197" s="26" t="str">
        <f t="shared" si="12"/>
        <v/>
      </c>
      <c r="K197" s="252" t="str">
        <f>IF(B197="Printemps",_xlfn.DAYS(A197,' Elevage'!N$17),IF(B197="Eté",_xlfn.DAYS(A197,' Elevage'!N$18),IF(B197="Automne",_xlfn.DAYS(A197,' Elevage'!N$19),IF(B197="Hiver",_xlfn.DAYS(A197,' Elevage'!N$16),IF(B197="Stock",_xlfn.DAYS(A197,' Elevage'!N$12),"")))))</f>
        <v/>
      </c>
    </row>
    <row r="198" spans="1:11" x14ac:dyDescent="0.5">
      <c r="A198" s="280"/>
      <c r="B198" s="279"/>
      <c r="C198" s="279"/>
      <c r="D198" s="279"/>
      <c r="E198" s="279"/>
      <c r="F198" s="281"/>
      <c r="G198" s="281"/>
      <c r="H198" s="25" t="str">
        <f t="shared" si="10"/>
        <v/>
      </c>
      <c r="I198" s="25" t="str">
        <f t="shared" si="11"/>
        <v/>
      </c>
      <c r="J198" s="26" t="str">
        <f t="shared" si="12"/>
        <v/>
      </c>
      <c r="K198" s="252" t="str">
        <f>IF(B198="Printemps",_xlfn.DAYS(A198,' Elevage'!N$17),IF(B198="Eté",_xlfn.DAYS(A198,' Elevage'!N$18),IF(B198="Automne",_xlfn.DAYS(A198,' Elevage'!N$19),IF(B198="Hiver",_xlfn.DAYS(A198,' Elevage'!N$16),IF(B198="Stock",_xlfn.DAYS(A198,' Elevage'!N$12),"")))))</f>
        <v/>
      </c>
    </row>
    <row r="199" spans="1:11" x14ac:dyDescent="0.5">
      <c r="A199" s="280"/>
      <c r="B199" s="279"/>
      <c r="C199" s="279"/>
      <c r="D199" s="279"/>
      <c r="E199" s="279"/>
      <c r="F199" s="281"/>
      <c r="G199" s="281"/>
      <c r="H199" s="25" t="str">
        <f t="shared" si="10"/>
        <v/>
      </c>
      <c r="I199" s="25" t="str">
        <f t="shared" si="11"/>
        <v/>
      </c>
      <c r="J199" s="26" t="str">
        <f t="shared" si="12"/>
        <v/>
      </c>
      <c r="K199" s="252" t="str">
        <f>IF(B199="Printemps",_xlfn.DAYS(A199,' Elevage'!N$17),IF(B199="Eté",_xlfn.DAYS(A199,' Elevage'!N$18),IF(B199="Automne",_xlfn.DAYS(A199,' Elevage'!N$19),IF(B199="Hiver",_xlfn.DAYS(A199,' Elevage'!N$16),IF(B199="Stock",_xlfn.DAYS(A199,' Elevage'!N$12),"")))))</f>
        <v/>
      </c>
    </row>
    <row r="200" spans="1:11" x14ac:dyDescent="0.5">
      <c r="A200" s="280"/>
      <c r="B200" s="279"/>
      <c r="C200" s="279"/>
      <c r="D200" s="279"/>
      <c r="E200" s="279"/>
      <c r="F200" s="281"/>
      <c r="G200" s="281"/>
      <c r="H200" s="25" t="str">
        <f t="shared" ref="H200:H263" si="13">IF(F200=0,"",F200/E200)</f>
        <v/>
      </c>
      <c r="I200" s="25" t="str">
        <f t="shared" ref="I200:I263" si="14">IF(F200=0,"",G200/F200)</f>
        <v/>
      </c>
      <c r="J200" s="26" t="str">
        <f t="shared" ref="J200:J263" si="15">IF(E200=0,"",G200/E200)</f>
        <v/>
      </c>
      <c r="K200" s="252" t="str">
        <f>IF(B200="Printemps",_xlfn.DAYS(A200,' Elevage'!N$17),IF(B200="Eté",_xlfn.DAYS(A200,' Elevage'!N$18),IF(B200="Automne",_xlfn.DAYS(A200,' Elevage'!N$19),IF(B200="Hiver",_xlfn.DAYS(A200,' Elevage'!N$16),IF(B200="Stock",_xlfn.DAYS(A200,' Elevage'!N$12),"")))))</f>
        <v/>
      </c>
    </row>
    <row r="201" spans="1:11" x14ac:dyDescent="0.5">
      <c r="A201" s="280"/>
      <c r="B201" s="279"/>
      <c r="C201" s="279"/>
      <c r="D201" s="279"/>
      <c r="E201" s="279"/>
      <c r="F201" s="281"/>
      <c r="G201" s="281"/>
      <c r="H201" s="25" t="str">
        <f t="shared" si="13"/>
        <v/>
      </c>
      <c r="I201" s="25" t="str">
        <f t="shared" si="14"/>
        <v/>
      </c>
      <c r="J201" s="26" t="str">
        <f t="shared" si="15"/>
        <v/>
      </c>
      <c r="K201" s="252" t="str">
        <f>IF(B201="Printemps",_xlfn.DAYS(A201,' Elevage'!N$17),IF(B201="Eté",_xlfn.DAYS(A201,' Elevage'!N$18),IF(B201="Automne",_xlfn.DAYS(A201,' Elevage'!N$19),IF(B201="Hiver",_xlfn.DAYS(A201,' Elevage'!N$16),IF(B201="Stock",_xlfn.DAYS(A201,' Elevage'!N$12),"")))))</f>
        <v/>
      </c>
    </row>
    <row r="202" spans="1:11" x14ac:dyDescent="0.5">
      <c r="A202" s="280"/>
      <c r="B202" s="279"/>
      <c r="C202" s="279"/>
      <c r="D202" s="279"/>
      <c r="E202" s="279"/>
      <c r="F202" s="281"/>
      <c r="G202" s="281"/>
      <c r="H202" s="25" t="str">
        <f t="shared" si="13"/>
        <v/>
      </c>
      <c r="I202" s="25" t="str">
        <f t="shared" si="14"/>
        <v/>
      </c>
      <c r="J202" s="26" t="str">
        <f t="shared" si="15"/>
        <v/>
      </c>
      <c r="K202" s="252" t="str">
        <f>IF(B202="Printemps",_xlfn.DAYS(A202,' Elevage'!N$17),IF(B202="Eté",_xlfn.DAYS(A202,' Elevage'!N$18),IF(B202="Automne",_xlfn.DAYS(A202,' Elevage'!N$19),IF(B202="Hiver",_xlfn.DAYS(A202,' Elevage'!N$16),IF(B202="Stock",_xlfn.DAYS(A202,' Elevage'!N$12),"")))))</f>
        <v/>
      </c>
    </row>
    <row r="203" spans="1:11" x14ac:dyDescent="0.5">
      <c r="A203" s="280"/>
      <c r="B203" s="279"/>
      <c r="C203" s="279"/>
      <c r="D203" s="279"/>
      <c r="E203" s="279"/>
      <c r="F203" s="281"/>
      <c r="G203" s="281"/>
      <c r="H203" s="25" t="str">
        <f t="shared" si="13"/>
        <v/>
      </c>
      <c r="I203" s="25" t="str">
        <f t="shared" si="14"/>
        <v/>
      </c>
      <c r="J203" s="26" t="str">
        <f t="shared" si="15"/>
        <v/>
      </c>
      <c r="K203" s="252" t="str">
        <f>IF(B203="Printemps",_xlfn.DAYS(A203,' Elevage'!N$17),IF(B203="Eté",_xlfn.DAYS(A203,' Elevage'!N$18),IF(B203="Automne",_xlfn.DAYS(A203,' Elevage'!N$19),IF(B203="Hiver",_xlfn.DAYS(A203,' Elevage'!N$16),IF(B203="Stock",_xlfn.DAYS(A203,' Elevage'!N$12),"")))))</f>
        <v/>
      </c>
    </row>
    <row r="204" spans="1:11" x14ac:dyDescent="0.5">
      <c r="A204" s="280"/>
      <c r="B204" s="279"/>
      <c r="C204" s="279"/>
      <c r="D204" s="279"/>
      <c r="E204" s="279"/>
      <c r="F204" s="281"/>
      <c r="G204" s="281"/>
      <c r="H204" s="25" t="str">
        <f t="shared" si="13"/>
        <v/>
      </c>
      <c r="I204" s="25" t="str">
        <f t="shared" si="14"/>
        <v/>
      </c>
      <c r="J204" s="26" t="str">
        <f t="shared" si="15"/>
        <v/>
      </c>
      <c r="K204" s="252" t="str">
        <f>IF(B204="Printemps",_xlfn.DAYS(A204,' Elevage'!N$17),IF(B204="Eté",_xlfn.DAYS(A204,' Elevage'!N$18),IF(B204="Automne",_xlfn.DAYS(A204,' Elevage'!N$19),IF(B204="Hiver",_xlfn.DAYS(A204,' Elevage'!N$16),IF(B204="Stock",_xlfn.DAYS(A204,' Elevage'!N$12),"")))))</f>
        <v/>
      </c>
    </row>
    <row r="205" spans="1:11" x14ac:dyDescent="0.5">
      <c r="A205" s="280"/>
      <c r="B205" s="279"/>
      <c r="C205" s="279"/>
      <c r="D205" s="279"/>
      <c r="E205" s="279"/>
      <c r="F205" s="281"/>
      <c r="G205" s="281"/>
      <c r="H205" s="25" t="str">
        <f t="shared" si="13"/>
        <v/>
      </c>
      <c r="I205" s="25" t="str">
        <f t="shared" si="14"/>
        <v/>
      </c>
      <c r="J205" s="26" t="str">
        <f t="shared" si="15"/>
        <v/>
      </c>
      <c r="K205" s="252" t="str">
        <f>IF(B205="Printemps",_xlfn.DAYS(A205,' Elevage'!N$17),IF(B205="Eté",_xlfn.DAYS(A205,' Elevage'!N$18),IF(B205="Automne",_xlfn.DAYS(A205,' Elevage'!N$19),IF(B205="Hiver",_xlfn.DAYS(A205,' Elevage'!N$16),IF(B205="Stock",_xlfn.DAYS(A205,' Elevage'!N$12),"")))))</f>
        <v/>
      </c>
    </row>
    <row r="206" spans="1:11" x14ac:dyDescent="0.5">
      <c r="A206" s="280"/>
      <c r="B206" s="279"/>
      <c r="C206" s="279"/>
      <c r="D206" s="279"/>
      <c r="E206" s="279"/>
      <c r="F206" s="281"/>
      <c r="G206" s="281"/>
      <c r="H206" s="25" t="str">
        <f t="shared" si="13"/>
        <v/>
      </c>
      <c r="I206" s="25" t="str">
        <f t="shared" si="14"/>
        <v/>
      </c>
      <c r="J206" s="26" t="str">
        <f t="shared" si="15"/>
        <v/>
      </c>
      <c r="K206" s="252" t="str">
        <f>IF(B206="Printemps",_xlfn.DAYS(A206,' Elevage'!N$17),IF(B206="Eté",_xlfn.DAYS(A206,' Elevage'!N$18),IF(B206="Automne",_xlfn.DAYS(A206,' Elevage'!N$19),IF(B206="Hiver",_xlfn.DAYS(A206,' Elevage'!N$16),IF(B206="Stock",_xlfn.DAYS(A206,' Elevage'!N$12),"")))))</f>
        <v/>
      </c>
    </row>
    <row r="207" spans="1:11" x14ac:dyDescent="0.5">
      <c r="A207" s="280"/>
      <c r="B207" s="279"/>
      <c r="C207" s="279"/>
      <c r="D207" s="279"/>
      <c r="E207" s="279"/>
      <c r="F207" s="281"/>
      <c r="G207" s="281"/>
      <c r="H207" s="25" t="str">
        <f t="shared" si="13"/>
        <v/>
      </c>
      <c r="I207" s="25" t="str">
        <f t="shared" si="14"/>
        <v/>
      </c>
      <c r="J207" s="26" t="str">
        <f t="shared" si="15"/>
        <v/>
      </c>
      <c r="K207" s="252" t="str">
        <f>IF(B207="Printemps",_xlfn.DAYS(A207,' Elevage'!N$17),IF(B207="Eté",_xlfn.DAYS(A207,' Elevage'!N$18),IF(B207="Automne",_xlfn.DAYS(A207,' Elevage'!N$19),IF(B207="Hiver",_xlfn.DAYS(A207,' Elevage'!N$16),IF(B207="Stock",_xlfn.DAYS(A207,' Elevage'!N$12),"")))))</f>
        <v/>
      </c>
    </row>
    <row r="208" spans="1:11" x14ac:dyDescent="0.5">
      <c r="A208" s="280"/>
      <c r="B208" s="279"/>
      <c r="C208" s="279"/>
      <c r="D208" s="279"/>
      <c r="E208" s="279"/>
      <c r="F208" s="281"/>
      <c r="G208" s="281"/>
      <c r="H208" s="25" t="str">
        <f t="shared" si="13"/>
        <v/>
      </c>
      <c r="I208" s="25" t="str">
        <f t="shared" si="14"/>
        <v/>
      </c>
      <c r="J208" s="26" t="str">
        <f t="shared" si="15"/>
        <v/>
      </c>
      <c r="K208" s="252" t="str">
        <f>IF(B208="Printemps",_xlfn.DAYS(A208,' Elevage'!N$17),IF(B208="Eté",_xlfn.DAYS(A208,' Elevage'!N$18),IF(B208="Automne",_xlfn.DAYS(A208,' Elevage'!N$19),IF(B208="Hiver",_xlfn.DAYS(A208,' Elevage'!N$16),IF(B208="Stock",_xlfn.DAYS(A208,' Elevage'!N$12),"")))))</f>
        <v/>
      </c>
    </row>
    <row r="209" spans="1:11" x14ac:dyDescent="0.5">
      <c r="A209" s="280"/>
      <c r="B209" s="279"/>
      <c r="C209" s="279"/>
      <c r="D209" s="279"/>
      <c r="E209" s="279"/>
      <c r="F209" s="281"/>
      <c r="G209" s="281"/>
      <c r="H209" s="25" t="str">
        <f t="shared" si="13"/>
        <v/>
      </c>
      <c r="I209" s="25" t="str">
        <f t="shared" si="14"/>
        <v/>
      </c>
      <c r="J209" s="26" t="str">
        <f t="shared" si="15"/>
        <v/>
      </c>
      <c r="K209" s="252" t="str">
        <f>IF(B209="Printemps",_xlfn.DAYS(A209,' Elevage'!N$17),IF(B209="Eté",_xlfn.DAYS(A209,' Elevage'!N$18),IF(B209="Automne",_xlfn.DAYS(A209,' Elevage'!N$19),IF(B209="Hiver",_xlfn.DAYS(A209,' Elevage'!N$16),IF(B209="Stock",_xlfn.DAYS(A209,' Elevage'!N$12),"")))))</f>
        <v/>
      </c>
    </row>
    <row r="210" spans="1:11" x14ac:dyDescent="0.5">
      <c r="A210" s="280"/>
      <c r="B210" s="279"/>
      <c r="C210" s="279"/>
      <c r="D210" s="279"/>
      <c r="E210" s="279"/>
      <c r="F210" s="281"/>
      <c r="G210" s="281"/>
      <c r="H210" s="25" t="str">
        <f t="shared" si="13"/>
        <v/>
      </c>
      <c r="I210" s="25" t="str">
        <f t="shared" si="14"/>
        <v/>
      </c>
      <c r="J210" s="26" t="str">
        <f t="shared" si="15"/>
        <v/>
      </c>
      <c r="K210" s="252" t="str">
        <f>IF(B210="Printemps",_xlfn.DAYS(A210,' Elevage'!N$17),IF(B210="Eté",_xlfn.DAYS(A210,' Elevage'!N$18),IF(B210="Automne",_xlfn.DAYS(A210,' Elevage'!N$19),IF(B210="Hiver",_xlfn.DAYS(A210,' Elevage'!N$16),IF(B210="Stock",_xlfn.DAYS(A210,' Elevage'!N$12),"")))))</f>
        <v/>
      </c>
    </row>
    <row r="211" spans="1:11" x14ac:dyDescent="0.5">
      <c r="A211" s="280"/>
      <c r="B211" s="279"/>
      <c r="C211" s="279"/>
      <c r="D211" s="279"/>
      <c r="E211" s="279"/>
      <c r="F211" s="281"/>
      <c r="G211" s="281"/>
      <c r="H211" s="25" t="str">
        <f t="shared" si="13"/>
        <v/>
      </c>
      <c r="I211" s="25" t="str">
        <f t="shared" si="14"/>
        <v/>
      </c>
      <c r="J211" s="26" t="str">
        <f t="shared" si="15"/>
        <v/>
      </c>
      <c r="K211" s="252" t="str">
        <f>IF(B211="Printemps",_xlfn.DAYS(A211,' Elevage'!N$17),IF(B211="Eté",_xlfn.DAYS(A211,' Elevage'!N$18),IF(B211="Automne",_xlfn.DAYS(A211,' Elevage'!N$19),IF(B211="Hiver",_xlfn.DAYS(A211,' Elevage'!N$16),IF(B211="Stock",_xlfn.DAYS(A211,' Elevage'!N$12),"")))))</f>
        <v/>
      </c>
    </row>
    <row r="212" spans="1:11" x14ac:dyDescent="0.5">
      <c r="A212" s="280"/>
      <c r="B212" s="279"/>
      <c r="C212" s="279"/>
      <c r="D212" s="279"/>
      <c r="E212" s="279"/>
      <c r="F212" s="281"/>
      <c r="G212" s="281"/>
      <c r="H212" s="25" t="str">
        <f t="shared" si="13"/>
        <v/>
      </c>
      <c r="I212" s="25" t="str">
        <f t="shared" si="14"/>
        <v/>
      </c>
      <c r="J212" s="26" t="str">
        <f t="shared" si="15"/>
        <v/>
      </c>
      <c r="K212" s="252" t="str">
        <f>IF(B212="Printemps",_xlfn.DAYS(A212,' Elevage'!N$17),IF(B212="Eté",_xlfn.DAYS(A212,' Elevage'!N$18),IF(B212="Automne",_xlfn.DAYS(A212,' Elevage'!N$19),IF(B212="Hiver",_xlfn.DAYS(A212,' Elevage'!N$16),IF(B212="Stock",_xlfn.DAYS(A212,' Elevage'!N$12),"")))))</f>
        <v/>
      </c>
    </row>
    <row r="213" spans="1:11" x14ac:dyDescent="0.5">
      <c r="A213" s="280"/>
      <c r="B213" s="279"/>
      <c r="C213" s="279"/>
      <c r="D213" s="279"/>
      <c r="E213" s="279"/>
      <c r="F213" s="281"/>
      <c r="G213" s="281"/>
      <c r="H213" s="25" t="str">
        <f t="shared" si="13"/>
        <v/>
      </c>
      <c r="I213" s="25" t="str">
        <f t="shared" si="14"/>
        <v/>
      </c>
      <c r="J213" s="26" t="str">
        <f t="shared" si="15"/>
        <v/>
      </c>
      <c r="K213" s="252" t="str">
        <f>IF(B213="Printemps",_xlfn.DAYS(A213,' Elevage'!N$17),IF(B213="Eté",_xlfn.DAYS(A213,' Elevage'!N$18),IF(B213="Automne",_xlfn.DAYS(A213,' Elevage'!N$19),IF(B213="Hiver",_xlfn.DAYS(A213,' Elevage'!N$16),IF(B213="Stock",_xlfn.DAYS(A213,' Elevage'!N$12),"")))))</f>
        <v/>
      </c>
    </row>
    <row r="214" spans="1:11" x14ac:dyDescent="0.5">
      <c r="A214" s="280"/>
      <c r="B214" s="279"/>
      <c r="C214" s="279"/>
      <c r="D214" s="279"/>
      <c r="E214" s="279"/>
      <c r="F214" s="281"/>
      <c r="G214" s="281"/>
      <c r="H214" s="25" t="str">
        <f t="shared" si="13"/>
        <v/>
      </c>
      <c r="I214" s="25" t="str">
        <f t="shared" si="14"/>
        <v/>
      </c>
      <c r="J214" s="26" t="str">
        <f t="shared" si="15"/>
        <v/>
      </c>
      <c r="K214" s="252" t="str">
        <f>IF(B214="Printemps",_xlfn.DAYS(A214,' Elevage'!N$17),IF(B214="Eté",_xlfn.DAYS(A214,' Elevage'!N$18),IF(B214="Automne",_xlfn.DAYS(A214,' Elevage'!N$19),IF(B214="Hiver",_xlfn.DAYS(A214,' Elevage'!N$16),IF(B214="Stock",_xlfn.DAYS(A214,' Elevage'!N$12),"")))))</f>
        <v/>
      </c>
    </row>
    <row r="215" spans="1:11" x14ac:dyDescent="0.5">
      <c r="A215" s="280"/>
      <c r="B215" s="279"/>
      <c r="C215" s="279"/>
      <c r="D215" s="279"/>
      <c r="E215" s="279"/>
      <c r="F215" s="281"/>
      <c r="G215" s="281"/>
      <c r="H215" s="25" t="str">
        <f t="shared" si="13"/>
        <v/>
      </c>
      <c r="I215" s="25" t="str">
        <f t="shared" si="14"/>
        <v/>
      </c>
      <c r="J215" s="26" t="str">
        <f t="shared" si="15"/>
        <v/>
      </c>
      <c r="K215" s="252" t="str">
        <f>IF(B215="Printemps",_xlfn.DAYS(A215,' Elevage'!N$17),IF(B215="Eté",_xlfn.DAYS(A215,' Elevage'!N$18),IF(B215="Automne",_xlfn.DAYS(A215,' Elevage'!N$19),IF(B215="Hiver",_xlfn.DAYS(A215,' Elevage'!N$16),IF(B215="Stock",_xlfn.DAYS(A215,' Elevage'!N$12),"")))))</f>
        <v/>
      </c>
    </row>
    <row r="216" spans="1:11" x14ac:dyDescent="0.5">
      <c r="A216" s="280"/>
      <c r="B216" s="279"/>
      <c r="C216" s="279"/>
      <c r="D216" s="279"/>
      <c r="E216" s="279"/>
      <c r="F216" s="281"/>
      <c r="G216" s="281"/>
      <c r="H216" s="25" t="str">
        <f t="shared" si="13"/>
        <v/>
      </c>
      <c r="I216" s="25" t="str">
        <f t="shared" si="14"/>
        <v/>
      </c>
      <c r="J216" s="26" t="str">
        <f t="shared" si="15"/>
        <v/>
      </c>
      <c r="K216" s="252" t="str">
        <f>IF(B216="Printemps",_xlfn.DAYS(A216,' Elevage'!N$17),IF(B216="Eté",_xlfn.DAYS(A216,' Elevage'!N$18),IF(B216="Automne",_xlfn.DAYS(A216,' Elevage'!N$19),IF(B216="Hiver",_xlfn.DAYS(A216,' Elevage'!N$16),IF(B216="Stock",_xlfn.DAYS(A216,' Elevage'!N$12),"")))))</f>
        <v/>
      </c>
    </row>
    <row r="217" spans="1:11" x14ac:dyDescent="0.5">
      <c r="A217" s="280"/>
      <c r="B217" s="279"/>
      <c r="C217" s="279"/>
      <c r="D217" s="279"/>
      <c r="E217" s="279"/>
      <c r="F217" s="281"/>
      <c r="G217" s="281"/>
      <c r="H217" s="25" t="str">
        <f t="shared" si="13"/>
        <v/>
      </c>
      <c r="I217" s="25" t="str">
        <f t="shared" si="14"/>
        <v/>
      </c>
      <c r="J217" s="26" t="str">
        <f t="shared" si="15"/>
        <v/>
      </c>
      <c r="K217" s="252" t="str">
        <f>IF(B217="Printemps",_xlfn.DAYS(A217,' Elevage'!N$17),IF(B217="Eté",_xlfn.DAYS(A217,' Elevage'!N$18),IF(B217="Automne",_xlfn.DAYS(A217,' Elevage'!N$19),IF(B217="Hiver",_xlfn.DAYS(A217,' Elevage'!N$16),IF(B217="Stock",_xlfn.DAYS(A217,' Elevage'!N$12),"")))))</f>
        <v/>
      </c>
    </row>
    <row r="218" spans="1:11" x14ac:dyDescent="0.5">
      <c r="A218" s="280"/>
      <c r="B218" s="279"/>
      <c r="C218" s="279"/>
      <c r="D218" s="279"/>
      <c r="E218" s="279"/>
      <c r="F218" s="281"/>
      <c r="G218" s="281"/>
      <c r="H218" s="25" t="str">
        <f t="shared" si="13"/>
        <v/>
      </c>
      <c r="I218" s="25" t="str">
        <f t="shared" si="14"/>
        <v/>
      </c>
      <c r="J218" s="26" t="str">
        <f t="shared" si="15"/>
        <v/>
      </c>
      <c r="K218" s="252" t="str">
        <f>IF(B218="Printemps",_xlfn.DAYS(A218,' Elevage'!N$17),IF(B218="Eté",_xlfn.DAYS(A218,' Elevage'!N$18),IF(B218="Automne",_xlfn.DAYS(A218,' Elevage'!N$19),IF(B218="Hiver",_xlfn.DAYS(A218,' Elevage'!N$16),IF(B218="Stock",_xlfn.DAYS(A218,' Elevage'!N$12),"")))))</f>
        <v/>
      </c>
    </row>
    <row r="219" spans="1:11" x14ac:dyDescent="0.5">
      <c r="A219" s="280"/>
      <c r="B219" s="279"/>
      <c r="C219" s="279"/>
      <c r="D219" s="279"/>
      <c r="E219" s="279"/>
      <c r="F219" s="281"/>
      <c r="G219" s="281"/>
      <c r="H219" s="25" t="str">
        <f t="shared" si="13"/>
        <v/>
      </c>
      <c r="I219" s="25" t="str">
        <f t="shared" si="14"/>
        <v/>
      </c>
      <c r="J219" s="26" t="str">
        <f t="shared" si="15"/>
        <v/>
      </c>
      <c r="K219" s="252" t="str">
        <f>IF(B219="Printemps",_xlfn.DAYS(A219,' Elevage'!N$17),IF(B219="Eté",_xlfn.DAYS(A219,' Elevage'!N$18),IF(B219="Automne",_xlfn.DAYS(A219,' Elevage'!N$19),IF(B219="Hiver",_xlfn.DAYS(A219,' Elevage'!N$16),IF(B219="Stock",_xlfn.DAYS(A219,' Elevage'!N$12),"")))))</f>
        <v/>
      </c>
    </row>
    <row r="220" spans="1:11" x14ac:dyDescent="0.5">
      <c r="A220" s="280"/>
      <c r="B220" s="279"/>
      <c r="C220" s="279"/>
      <c r="D220" s="279"/>
      <c r="E220" s="279"/>
      <c r="F220" s="281"/>
      <c r="G220" s="281"/>
      <c r="H220" s="25" t="str">
        <f t="shared" si="13"/>
        <v/>
      </c>
      <c r="I220" s="25" t="str">
        <f t="shared" si="14"/>
        <v/>
      </c>
      <c r="J220" s="26" t="str">
        <f t="shared" si="15"/>
        <v/>
      </c>
      <c r="K220" s="252" t="str">
        <f>IF(B220="Printemps",_xlfn.DAYS(A220,' Elevage'!N$17),IF(B220="Eté",_xlfn.DAYS(A220,' Elevage'!N$18),IF(B220="Automne",_xlfn.DAYS(A220,' Elevage'!N$19),IF(B220="Hiver",_xlfn.DAYS(A220,' Elevage'!N$16),IF(B220="Stock",_xlfn.DAYS(A220,' Elevage'!N$12),"")))))</f>
        <v/>
      </c>
    </row>
    <row r="221" spans="1:11" x14ac:dyDescent="0.5">
      <c r="A221" s="280"/>
      <c r="B221" s="279"/>
      <c r="C221" s="279"/>
      <c r="D221" s="279"/>
      <c r="E221" s="279"/>
      <c r="F221" s="281"/>
      <c r="G221" s="281"/>
      <c r="H221" s="25" t="str">
        <f t="shared" si="13"/>
        <v/>
      </c>
      <c r="I221" s="25" t="str">
        <f t="shared" si="14"/>
        <v/>
      </c>
      <c r="J221" s="26" t="str">
        <f t="shared" si="15"/>
        <v/>
      </c>
      <c r="K221" s="252" t="str">
        <f>IF(B221="Printemps",_xlfn.DAYS(A221,' Elevage'!N$17),IF(B221="Eté",_xlfn.DAYS(A221,' Elevage'!N$18),IF(B221="Automne",_xlfn.DAYS(A221,' Elevage'!N$19),IF(B221="Hiver",_xlfn.DAYS(A221,' Elevage'!N$16),IF(B221="Stock",_xlfn.DAYS(A221,' Elevage'!N$12),"")))))</f>
        <v/>
      </c>
    </row>
    <row r="222" spans="1:11" x14ac:dyDescent="0.5">
      <c r="A222" s="280"/>
      <c r="B222" s="279"/>
      <c r="C222" s="279"/>
      <c r="D222" s="279"/>
      <c r="E222" s="279"/>
      <c r="F222" s="281"/>
      <c r="G222" s="281"/>
      <c r="H222" s="25" t="str">
        <f t="shared" si="13"/>
        <v/>
      </c>
      <c r="I222" s="25" t="str">
        <f t="shared" si="14"/>
        <v/>
      </c>
      <c r="J222" s="26" t="str">
        <f t="shared" si="15"/>
        <v/>
      </c>
      <c r="K222" s="252" t="str">
        <f>IF(B222="Printemps",_xlfn.DAYS(A222,' Elevage'!N$17),IF(B222="Eté",_xlfn.DAYS(A222,' Elevage'!N$18),IF(B222="Automne",_xlfn.DAYS(A222,' Elevage'!N$19),IF(B222="Hiver",_xlfn.DAYS(A222,' Elevage'!N$16),IF(B222="Stock",_xlfn.DAYS(A222,' Elevage'!N$12),"")))))</f>
        <v/>
      </c>
    </row>
    <row r="223" spans="1:11" x14ac:dyDescent="0.5">
      <c r="A223" s="280"/>
      <c r="B223" s="279"/>
      <c r="C223" s="279"/>
      <c r="D223" s="279"/>
      <c r="E223" s="279"/>
      <c r="F223" s="281"/>
      <c r="G223" s="281"/>
      <c r="H223" s="25" t="str">
        <f t="shared" si="13"/>
        <v/>
      </c>
      <c r="I223" s="25" t="str">
        <f t="shared" si="14"/>
        <v/>
      </c>
      <c r="J223" s="26" t="str">
        <f t="shared" si="15"/>
        <v/>
      </c>
      <c r="K223" s="252" t="str">
        <f>IF(B223="Printemps",_xlfn.DAYS(A223,' Elevage'!N$17),IF(B223="Eté",_xlfn.DAYS(A223,' Elevage'!N$18),IF(B223="Automne",_xlfn.DAYS(A223,' Elevage'!N$19),IF(B223="Hiver",_xlfn.DAYS(A223,' Elevage'!N$16),IF(B223="Stock",_xlfn.DAYS(A223,' Elevage'!N$12),"")))))</f>
        <v/>
      </c>
    </row>
    <row r="224" spans="1:11" x14ac:dyDescent="0.5">
      <c r="A224" s="280"/>
      <c r="B224" s="279"/>
      <c r="C224" s="279"/>
      <c r="D224" s="279"/>
      <c r="E224" s="279"/>
      <c r="F224" s="281"/>
      <c r="G224" s="281"/>
      <c r="H224" s="25" t="str">
        <f t="shared" si="13"/>
        <v/>
      </c>
      <c r="I224" s="25" t="str">
        <f t="shared" si="14"/>
        <v/>
      </c>
      <c r="J224" s="26" t="str">
        <f t="shared" si="15"/>
        <v/>
      </c>
      <c r="K224" s="252" t="str">
        <f>IF(B224="Printemps",_xlfn.DAYS(A224,' Elevage'!N$17),IF(B224="Eté",_xlfn.DAYS(A224,' Elevage'!N$18),IF(B224="Automne",_xlfn.DAYS(A224,' Elevage'!N$19),IF(B224="Hiver",_xlfn.DAYS(A224,' Elevage'!N$16),IF(B224="Stock",_xlfn.DAYS(A224,' Elevage'!N$12),"")))))</f>
        <v/>
      </c>
    </row>
    <row r="225" spans="1:11" x14ac:dyDescent="0.5">
      <c r="A225" s="280"/>
      <c r="B225" s="279"/>
      <c r="C225" s="279"/>
      <c r="D225" s="279"/>
      <c r="E225" s="279"/>
      <c r="F225" s="281"/>
      <c r="G225" s="281"/>
      <c r="H225" s="25" t="str">
        <f t="shared" si="13"/>
        <v/>
      </c>
      <c r="I225" s="25" t="str">
        <f t="shared" si="14"/>
        <v/>
      </c>
      <c r="J225" s="26" t="str">
        <f t="shared" si="15"/>
        <v/>
      </c>
      <c r="K225" s="252" t="str">
        <f>IF(B225="Printemps",_xlfn.DAYS(A225,' Elevage'!N$17),IF(B225="Eté",_xlfn.DAYS(A225,' Elevage'!N$18),IF(B225="Automne",_xlfn.DAYS(A225,' Elevage'!N$19),IF(B225="Hiver",_xlfn.DAYS(A225,' Elevage'!N$16),IF(B225="Stock",_xlfn.DAYS(A225,' Elevage'!N$12),"")))))</f>
        <v/>
      </c>
    </row>
    <row r="226" spans="1:11" x14ac:dyDescent="0.5">
      <c r="A226" s="280"/>
      <c r="B226" s="279"/>
      <c r="C226" s="279"/>
      <c r="D226" s="279"/>
      <c r="E226" s="279"/>
      <c r="F226" s="281"/>
      <c r="G226" s="281"/>
      <c r="H226" s="25" t="str">
        <f t="shared" si="13"/>
        <v/>
      </c>
      <c r="I226" s="25" t="str">
        <f t="shared" si="14"/>
        <v/>
      </c>
      <c r="J226" s="26" t="str">
        <f t="shared" si="15"/>
        <v/>
      </c>
      <c r="K226" s="252" t="str">
        <f>IF(B226="Printemps",_xlfn.DAYS(A226,' Elevage'!N$17),IF(B226="Eté",_xlfn.DAYS(A226,' Elevage'!N$18),IF(B226="Automne",_xlfn.DAYS(A226,' Elevage'!N$19),IF(B226="Hiver",_xlfn.DAYS(A226,' Elevage'!N$16),IF(B226="Stock",_xlfn.DAYS(A226,' Elevage'!N$12),"")))))</f>
        <v/>
      </c>
    </row>
    <row r="227" spans="1:11" x14ac:dyDescent="0.5">
      <c r="A227" s="280"/>
      <c r="B227" s="279"/>
      <c r="C227" s="279"/>
      <c r="D227" s="279"/>
      <c r="E227" s="279"/>
      <c r="F227" s="281"/>
      <c r="G227" s="281"/>
      <c r="H227" s="25" t="str">
        <f t="shared" si="13"/>
        <v/>
      </c>
      <c r="I227" s="25" t="str">
        <f t="shared" si="14"/>
        <v/>
      </c>
      <c r="J227" s="26" t="str">
        <f t="shared" si="15"/>
        <v/>
      </c>
      <c r="K227" s="252" t="str">
        <f>IF(B227="Printemps",_xlfn.DAYS(A227,' Elevage'!N$17),IF(B227="Eté",_xlfn.DAYS(A227,' Elevage'!N$18),IF(B227="Automne",_xlfn.DAYS(A227,' Elevage'!N$19),IF(B227="Hiver",_xlfn.DAYS(A227,' Elevage'!N$16),IF(B227="Stock",_xlfn.DAYS(A227,' Elevage'!N$12),"")))))</f>
        <v/>
      </c>
    </row>
    <row r="228" spans="1:11" x14ac:dyDescent="0.5">
      <c r="A228" s="280"/>
      <c r="B228" s="279"/>
      <c r="C228" s="279"/>
      <c r="D228" s="279"/>
      <c r="E228" s="279"/>
      <c r="F228" s="281"/>
      <c r="G228" s="281"/>
      <c r="H228" s="25" t="str">
        <f t="shared" si="13"/>
        <v/>
      </c>
      <c r="I228" s="25" t="str">
        <f t="shared" si="14"/>
        <v/>
      </c>
      <c r="J228" s="26" t="str">
        <f t="shared" si="15"/>
        <v/>
      </c>
      <c r="K228" s="252" t="str">
        <f>IF(B228="Printemps",_xlfn.DAYS(A228,' Elevage'!N$17),IF(B228="Eté",_xlfn.DAYS(A228,' Elevage'!N$18),IF(B228="Automne",_xlfn.DAYS(A228,' Elevage'!N$19),IF(B228="Hiver",_xlfn.DAYS(A228,' Elevage'!N$16),IF(B228="Stock",_xlfn.DAYS(A228,' Elevage'!N$12),"")))))</f>
        <v/>
      </c>
    </row>
    <row r="229" spans="1:11" x14ac:dyDescent="0.5">
      <c r="A229" s="280"/>
      <c r="B229" s="279"/>
      <c r="C229" s="279"/>
      <c r="D229" s="279"/>
      <c r="E229" s="279"/>
      <c r="F229" s="281"/>
      <c r="G229" s="281"/>
      <c r="H229" s="25" t="str">
        <f t="shared" si="13"/>
        <v/>
      </c>
      <c r="I229" s="25" t="str">
        <f t="shared" si="14"/>
        <v/>
      </c>
      <c r="J229" s="26" t="str">
        <f t="shared" si="15"/>
        <v/>
      </c>
      <c r="K229" s="252" t="str">
        <f>IF(B229="Printemps",_xlfn.DAYS(A229,' Elevage'!N$17),IF(B229="Eté",_xlfn.DAYS(A229,' Elevage'!N$18),IF(B229="Automne",_xlfn.DAYS(A229,' Elevage'!N$19),IF(B229="Hiver",_xlfn.DAYS(A229,' Elevage'!N$16),IF(B229="Stock",_xlfn.DAYS(A229,' Elevage'!N$12),"")))))</f>
        <v/>
      </c>
    </row>
    <row r="230" spans="1:11" x14ac:dyDescent="0.5">
      <c r="A230" s="280"/>
      <c r="B230" s="279"/>
      <c r="C230" s="279"/>
      <c r="D230" s="279"/>
      <c r="E230" s="279"/>
      <c r="F230" s="281"/>
      <c r="G230" s="281"/>
      <c r="H230" s="25" t="str">
        <f t="shared" si="13"/>
        <v/>
      </c>
      <c r="I230" s="25" t="str">
        <f t="shared" si="14"/>
        <v/>
      </c>
      <c r="J230" s="26" t="str">
        <f t="shared" si="15"/>
        <v/>
      </c>
      <c r="K230" s="252" t="str">
        <f>IF(B230="Printemps",_xlfn.DAYS(A230,' Elevage'!N$17),IF(B230="Eté",_xlfn.DAYS(A230,' Elevage'!N$18),IF(B230="Automne",_xlfn.DAYS(A230,' Elevage'!N$19),IF(B230="Hiver",_xlfn.DAYS(A230,' Elevage'!N$16),IF(B230="Stock",_xlfn.DAYS(A230,' Elevage'!N$12),"")))))</f>
        <v/>
      </c>
    </row>
    <row r="231" spans="1:11" x14ac:dyDescent="0.5">
      <c r="A231" s="280"/>
      <c r="B231" s="279"/>
      <c r="C231" s="279"/>
      <c r="D231" s="279"/>
      <c r="E231" s="279"/>
      <c r="F231" s="281"/>
      <c r="G231" s="281"/>
      <c r="H231" s="25" t="str">
        <f t="shared" si="13"/>
        <v/>
      </c>
      <c r="I231" s="25" t="str">
        <f t="shared" si="14"/>
        <v/>
      </c>
      <c r="J231" s="26" t="str">
        <f t="shared" si="15"/>
        <v/>
      </c>
      <c r="K231" s="252" t="str">
        <f>IF(B231="Printemps",_xlfn.DAYS(A231,' Elevage'!N$17),IF(B231="Eté",_xlfn.DAYS(A231,' Elevage'!N$18),IF(B231="Automne",_xlfn.DAYS(A231,' Elevage'!N$19),IF(B231="Hiver",_xlfn.DAYS(A231,' Elevage'!N$16),IF(B231="Stock",_xlfn.DAYS(A231,' Elevage'!N$12),"")))))</f>
        <v/>
      </c>
    </row>
    <row r="232" spans="1:11" x14ac:dyDescent="0.5">
      <c r="A232" s="280"/>
      <c r="B232" s="279"/>
      <c r="C232" s="279"/>
      <c r="D232" s="279"/>
      <c r="E232" s="279"/>
      <c r="F232" s="281"/>
      <c r="G232" s="281"/>
      <c r="H232" s="25" t="str">
        <f t="shared" si="13"/>
        <v/>
      </c>
      <c r="I232" s="25" t="str">
        <f t="shared" si="14"/>
        <v/>
      </c>
      <c r="J232" s="26" t="str">
        <f t="shared" si="15"/>
        <v/>
      </c>
      <c r="K232" s="252" t="str">
        <f>IF(B232="Printemps",_xlfn.DAYS(A232,' Elevage'!N$17),IF(B232="Eté",_xlfn.DAYS(A232,' Elevage'!N$18),IF(B232="Automne",_xlfn.DAYS(A232,' Elevage'!N$19),IF(B232="Hiver",_xlfn.DAYS(A232,' Elevage'!N$16),IF(B232="Stock",_xlfn.DAYS(A232,' Elevage'!N$12),"")))))</f>
        <v/>
      </c>
    </row>
    <row r="233" spans="1:11" x14ac:dyDescent="0.5">
      <c r="A233" s="280"/>
      <c r="B233" s="279"/>
      <c r="C233" s="279"/>
      <c r="D233" s="279"/>
      <c r="E233" s="279"/>
      <c r="F233" s="281"/>
      <c r="G233" s="281"/>
      <c r="H233" s="25" t="str">
        <f t="shared" si="13"/>
        <v/>
      </c>
      <c r="I233" s="25" t="str">
        <f t="shared" si="14"/>
        <v/>
      </c>
      <c r="J233" s="26" t="str">
        <f t="shared" si="15"/>
        <v/>
      </c>
      <c r="K233" s="252" t="str">
        <f>IF(B233="Printemps",_xlfn.DAYS(A233,' Elevage'!N$17),IF(B233="Eté",_xlfn.DAYS(A233,' Elevage'!N$18),IF(B233="Automne",_xlfn.DAYS(A233,' Elevage'!N$19),IF(B233="Hiver",_xlfn.DAYS(A233,' Elevage'!N$16),IF(B233="Stock",_xlfn.DAYS(A233,' Elevage'!N$12),"")))))</f>
        <v/>
      </c>
    </row>
    <row r="234" spans="1:11" x14ac:dyDescent="0.5">
      <c r="A234" s="280"/>
      <c r="B234" s="279"/>
      <c r="C234" s="279"/>
      <c r="D234" s="279"/>
      <c r="E234" s="279"/>
      <c r="F234" s="281"/>
      <c r="G234" s="281"/>
      <c r="H234" s="25" t="str">
        <f t="shared" si="13"/>
        <v/>
      </c>
      <c r="I234" s="25" t="str">
        <f t="shared" si="14"/>
        <v/>
      </c>
      <c r="J234" s="26" t="str">
        <f t="shared" si="15"/>
        <v/>
      </c>
      <c r="K234" s="252" t="str">
        <f>IF(B234="Printemps",_xlfn.DAYS(A234,' Elevage'!N$17),IF(B234="Eté",_xlfn.DAYS(A234,' Elevage'!N$18),IF(B234="Automne",_xlfn.DAYS(A234,' Elevage'!N$19),IF(B234="Hiver",_xlfn.DAYS(A234,' Elevage'!N$16),IF(B234="Stock",_xlfn.DAYS(A234,' Elevage'!N$12),"")))))</f>
        <v/>
      </c>
    </row>
    <row r="235" spans="1:11" x14ac:dyDescent="0.5">
      <c r="A235" s="280"/>
      <c r="B235" s="279"/>
      <c r="C235" s="279"/>
      <c r="D235" s="279"/>
      <c r="E235" s="279"/>
      <c r="F235" s="281"/>
      <c r="G235" s="281"/>
      <c r="H235" s="25" t="str">
        <f t="shared" si="13"/>
        <v/>
      </c>
      <c r="I235" s="25" t="str">
        <f t="shared" si="14"/>
        <v/>
      </c>
      <c r="J235" s="26" t="str">
        <f t="shared" si="15"/>
        <v/>
      </c>
      <c r="K235" s="252" t="str">
        <f>IF(B235="Printemps",_xlfn.DAYS(A235,' Elevage'!N$17),IF(B235="Eté",_xlfn.DAYS(A235,' Elevage'!N$18),IF(B235="Automne",_xlfn.DAYS(A235,' Elevage'!N$19),IF(B235="Hiver",_xlfn.DAYS(A235,' Elevage'!N$16),IF(B235="Stock",_xlfn.DAYS(A235,' Elevage'!N$12),"")))))</f>
        <v/>
      </c>
    </row>
    <row r="236" spans="1:11" x14ac:dyDescent="0.5">
      <c r="A236" s="280"/>
      <c r="B236" s="279"/>
      <c r="C236" s="279"/>
      <c r="D236" s="279"/>
      <c r="E236" s="279"/>
      <c r="F236" s="281"/>
      <c r="G236" s="281"/>
      <c r="H236" s="25" t="str">
        <f t="shared" si="13"/>
        <v/>
      </c>
      <c r="I236" s="25" t="str">
        <f t="shared" si="14"/>
        <v/>
      </c>
      <c r="J236" s="26" t="str">
        <f t="shared" si="15"/>
        <v/>
      </c>
      <c r="K236" s="252" t="str">
        <f>IF(B236="Printemps",_xlfn.DAYS(A236,' Elevage'!N$17),IF(B236="Eté",_xlfn.DAYS(A236,' Elevage'!N$18),IF(B236="Automne",_xlfn.DAYS(A236,' Elevage'!N$19),IF(B236="Hiver",_xlfn.DAYS(A236,' Elevage'!N$16),IF(B236="Stock",_xlfn.DAYS(A236,' Elevage'!N$12),"")))))</f>
        <v/>
      </c>
    </row>
    <row r="237" spans="1:11" x14ac:dyDescent="0.5">
      <c r="A237" s="280"/>
      <c r="B237" s="279"/>
      <c r="C237" s="279"/>
      <c r="D237" s="279"/>
      <c r="E237" s="279"/>
      <c r="F237" s="281"/>
      <c r="G237" s="281"/>
      <c r="H237" s="25" t="str">
        <f t="shared" si="13"/>
        <v/>
      </c>
      <c r="I237" s="25" t="str">
        <f t="shared" si="14"/>
        <v/>
      </c>
      <c r="J237" s="26" t="str">
        <f t="shared" si="15"/>
        <v/>
      </c>
      <c r="K237" s="252" t="str">
        <f>IF(B237="Printemps",_xlfn.DAYS(A237,' Elevage'!N$17),IF(B237="Eté",_xlfn.DAYS(A237,' Elevage'!N$18),IF(B237="Automne",_xlfn.DAYS(A237,' Elevage'!N$19),IF(B237="Hiver",_xlfn.DAYS(A237,' Elevage'!N$16),IF(B237="Stock",_xlfn.DAYS(A237,' Elevage'!N$12),"")))))</f>
        <v/>
      </c>
    </row>
    <row r="238" spans="1:11" x14ac:dyDescent="0.5">
      <c r="A238" s="280"/>
      <c r="B238" s="279"/>
      <c r="C238" s="279"/>
      <c r="D238" s="279"/>
      <c r="E238" s="279"/>
      <c r="F238" s="281"/>
      <c r="G238" s="281"/>
      <c r="H238" s="25" t="str">
        <f t="shared" si="13"/>
        <v/>
      </c>
      <c r="I238" s="25" t="str">
        <f t="shared" si="14"/>
        <v/>
      </c>
      <c r="J238" s="26" t="str">
        <f t="shared" si="15"/>
        <v/>
      </c>
      <c r="K238" s="252" t="str">
        <f>IF(B238="Printemps",_xlfn.DAYS(A238,' Elevage'!N$17),IF(B238="Eté",_xlfn.DAYS(A238,' Elevage'!N$18),IF(B238="Automne",_xlfn.DAYS(A238,' Elevage'!N$19),IF(B238="Hiver",_xlfn.DAYS(A238,' Elevage'!N$16),IF(B238="Stock",_xlfn.DAYS(A238,' Elevage'!N$12),"")))))</f>
        <v/>
      </c>
    </row>
    <row r="239" spans="1:11" x14ac:dyDescent="0.5">
      <c r="A239" s="280"/>
      <c r="B239" s="279"/>
      <c r="C239" s="279"/>
      <c r="D239" s="279"/>
      <c r="E239" s="279"/>
      <c r="F239" s="281"/>
      <c r="G239" s="281"/>
      <c r="H239" s="25" t="str">
        <f t="shared" si="13"/>
        <v/>
      </c>
      <c r="I239" s="25" t="str">
        <f t="shared" si="14"/>
        <v/>
      </c>
      <c r="J239" s="26" t="str">
        <f t="shared" si="15"/>
        <v/>
      </c>
      <c r="K239" s="252" t="str">
        <f>IF(B239="Printemps",_xlfn.DAYS(A239,' Elevage'!N$17),IF(B239="Eté",_xlfn.DAYS(A239,' Elevage'!N$18),IF(B239="Automne",_xlfn.DAYS(A239,' Elevage'!N$19),IF(B239="Hiver",_xlfn.DAYS(A239,' Elevage'!N$16),IF(B239="Stock",_xlfn.DAYS(A239,' Elevage'!N$12),"")))))</f>
        <v/>
      </c>
    </row>
    <row r="240" spans="1:11" x14ac:dyDescent="0.5">
      <c r="A240" s="280"/>
      <c r="B240" s="279"/>
      <c r="C240" s="279"/>
      <c r="D240" s="279"/>
      <c r="E240" s="279"/>
      <c r="F240" s="281"/>
      <c r="G240" s="281"/>
      <c r="H240" s="25" t="str">
        <f t="shared" si="13"/>
        <v/>
      </c>
      <c r="I240" s="25" t="str">
        <f t="shared" si="14"/>
        <v/>
      </c>
      <c r="J240" s="26" t="str">
        <f t="shared" si="15"/>
        <v/>
      </c>
      <c r="K240" s="252" t="str">
        <f>IF(B240="Printemps",_xlfn.DAYS(A240,' Elevage'!N$17),IF(B240="Eté",_xlfn.DAYS(A240,' Elevage'!N$18),IF(B240="Automne",_xlfn.DAYS(A240,' Elevage'!N$19),IF(B240="Hiver",_xlfn.DAYS(A240,' Elevage'!N$16),IF(B240="Stock",_xlfn.DAYS(A240,' Elevage'!N$12),"")))))</f>
        <v/>
      </c>
    </row>
    <row r="241" spans="1:11" x14ac:dyDescent="0.5">
      <c r="A241" s="280"/>
      <c r="B241" s="279"/>
      <c r="C241" s="279"/>
      <c r="D241" s="279"/>
      <c r="E241" s="279"/>
      <c r="F241" s="281"/>
      <c r="G241" s="281"/>
      <c r="H241" s="25" t="str">
        <f t="shared" si="13"/>
        <v/>
      </c>
      <c r="I241" s="25" t="str">
        <f t="shared" si="14"/>
        <v/>
      </c>
      <c r="J241" s="26" t="str">
        <f t="shared" si="15"/>
        <v/>
      </c>
      <c r="K241" s="252" t="str">
        <f>IF(B241="Printemps",_xlfn.DAYS(A241,' Elevage'!N$17),IF(B241="Eté",_xlfn.DAYS(A241,' Elevage'!N$18),IF(B241="Automne",_xlfn.DAYS(A241,' Elevage'!N$19),IF(B241="Hiver",_xlfn.DAYS(A241,' Elevage'!N$16),IF(B241="Stock",_xlfn.DAYS(A241,' Elevage'!N$12),"")))))</f>
        <v/>
      </c>
    </row>
    <row r="242" spans="1:11" x14ac:dyDescent="0.5">
      <c r="A242" s="280"/>
      <c r="B242" s="279"/>
      <c r="C242" s="279"/>
      <c r="D242" s="279"/>
      <c r="E242" s="279"/>
      <c r="F242" s="281"/>
      <c r="G242" s="281"/>
      <c r="H242" s="25" t="str">
        <f t="shared" si="13"/>
        <v/>
      </c>
      <c r="I242" s="25" t="str">
        <f t="shared" si="14"/>
        <v/>
      </c>
      <c r="J242" s="26" t="str">
        <f t="shared" si="15"/>
        <v/>
      </c>
      <c r="K242" s="252" t="str">
        <f>IF(B242="Printemps",_xlfn.DAYS(A242,' Elevage'!N$17),IF(B242="Eté",_xlfn.DAYS(A242,' Elevage'!N$18),IF(B242="Automne",_xlfn.DAYS(A242,' Elevage'!N$19),IF(B242="Hiver",_xlfn.DAYS(A242,' Elevage'!N$16),IF(B242="Stock",_xlfn.DAYS(A242,' Elevage'!N$12),"")))))</f>
        <v/>
      </c>
    </row>
    <row r="243" spans="1:11" x14ac:dyDescent="0.5">
      <c r="A243" s="280"/>
      <c r="B243" s="279"/>
      <c r="C243" s="279"/>
      <c r="D243" s="279"/>
      <c r="E243" s="279"/>
      <c r="F243" s="281"/>
      <c r="G243" s="281"/>
      <c r="H243" s="25" t="str">
        <f t="shared" si="13"/>
        <v/>
      </c>
      <c r="I243" s="25" t="str">
        <f t="shared" si="14"/>
        <v/>
      </c>
      <c r="J243" s="26" t="str">
        <f t="shared" si="15"/>
        <v/>
      </c>
      <c r="K243" s="252" t="str">
        <f>IF(B243="Printemps",_xlfn.DAYS(A243,' Elevage'!N$17),IF(B243="Eté",_xlfn.DAYS(A243,' Elevage'!N$18),IF(B243="Automne",_xlfn.DAYS(A243,' Elevage'!N$19),IF(B243="Hiver",_xlfn.DAYS(A243,' Elevage'!N$16),IF(B243="Stock",_xlfn.DAYS(A243,' Elevage'!N$12),"")))))</f>
        <v/>
      </c>
    </row>
    <row r="244" spans="1:11" x14ac:dyDescent="0.5">
      <c r="A244" s="280"/>
      <c r="B244" s="279"/>
      <c r="C244" s="279"/>
      <c r="D244" s="279"/>
      <c r="E244" s="279"/>
      <c r="F244" s="281"/>
      <c r="G244" s="281"/>
      <c r="H244" s="25" t="str">
        <f t="shared" si="13"/>
        <v/>
      </c>
      <c r="I244" s="25" t="str">
        <f t="shared" si="14"/>
        <v/>
      </c>
      <c r="J244" s="26" t="str">
        <f t="shared" si="15"/>
        <v/>
      </c>
      <c r="K244" s="252" t="str">
        <f>IF(B244="Printemps",_xlfn.DAYS(A244,' Elevage'!N$17),IF(B244="Eté",_xlfn.DAYS(A244,' Elevage'!N$18),IF(B244="Automne",_xlfn.DAYS(A244,' Elevage'!N$19),IF(B244="Hiver",_xlfn.DAYS(A244,' Elevage'!N$16),IF(B244="Stock",_xlfn.DAYS(A244,' Elevage'!N$12),"")))))</f>
        <v/>
      </c>
    </row>
    <row r="245" spans="1:11" x14ac:dyDescent="0.5">
      <c r="A245" s="280"/>
      <c r="B245" s="279"/>
      <c r="C245" s="279"/>
      <c r="D245" s="279"/>
      <c r="E245" s="279"/>
      <c r="F245" s="281"/>
      <c r="G245" s="281"/>
      <c r="H245" s="25" t="str">
        <f t="shared" si="13"/>
        <v/>
      </c>
      <c r="I245" s="25" t="str">
        <f t="shared" si="14"/>
        <v/>
      </c>
      <c r="J245" s="26" t="str">
        <f t="shared" si="15"/>
        <v/>
      </c>
      <c r="K245" s="252" t="str">
        <f>IF(B245="Printemps",_xlfn.DAYS(A245,' Elevage'!N$17),IF(B245="Eté",_xlfn.DAYS(A245,' Elevage'!N$18),IF(B245="Automne",_xlfn.DAYS(A245,' Elevage'!N$19),IF(B245="Hiver",_xlfn.DAYS(A245,' Elevage'!N$16),IF(B245="Stock",_xlfn.DAYS(A245,' Elevage'!N$12),"")))))</f>
        <v/>
      </c>
    </row>
    <row r="246" spans="1:11" x14ac:dyDescent="0.5">
      <c r="A246" s="280"/>
      <c r="B246" s="279"/>
      <c r="C246" s="279"/>
      <c r="D246" s="279"/>
      <c r="E246" s="279"/>
      <c r="F246" s="281"/>
      <c r="G246" s="281"/>
      <c r="H246" s="25" t="str">
        <f t="shared" si="13"/>
        <v/>
      </c>
      <c r="I246" s="25" t="str">
        <f t="shared" si="14"/>
        <v/>
      </c>
      <c r="J246" s="26" t="str">
        <f t="shared" si="15"/>
        <v/>
      </c>
      <c r="K246" s="252" t="str">
        <f>IF(B246="Printemps",_xlfn.DAYS(A246,' Elevage'!N$17),IF(B246="Eté",_xlfn.DAYS(A246,' Elevage'!N$18),IF(B246="Automne",_xlfn.DAYS(A246,' Elevage'!N$19),IF(B246="Hiver",_xlfn.DAYS(A246,' Elevage'!N$16),IF(B246="Stock",_xlfn.DAYS(A246,' Elevage'!N$12),"")))))</f>
        <v/>
      </c>
    </row>
    <row r="247" spans="1:11" x14ac:dyDescent="0.5">
      <c r="A247" s="280"/>
      <c r="B247" s="279"/>
      <c r="C247" s="279"/>
      <c r="D247" s="279"/>
      <c r="E247" s="279"/>
      <c r="F247" s="281"/>
      <c r="G247" s="281"/>
      <c r="H247" s="25" t="str">
        <f t="shared" si="13"/>
        <v/>
      </c>
      <c r="I247" s="25" t="str">
        <f t="shared" si="14"/>
        <v/>
      </c>
      <c r="J247" s="26" t="str">
        <f t="shared" si="15"/>
        <v/>
      </c>
      <c r="K247" s="252" t="str">
        <f>IF(B247="Printemps",_xlfn.DAYS(A247,' Elevage'!N$17),IF(B247="Eté",_xlfn.DAYS(A247,' Elevage'!N$18),IF(B247="Automne",_xlfn.DAYS(A247,' Elevage'!N$19),IF(B247="Hiver",_xlfn.DAYS(A247,' Elevage'!N$16),IF(B247="Stock",_xlfn.DAYS(A247,' Elevage'!N$12),"")))))</f>
        <v/>
      </c>
    </row>
    <row r="248" spans="1:11" x14ac:dyDescent="0.5">
      <c r="A248" s="280"/>
      <c r="B248" s="279"/>
      <c r="C248" s="279"/>
      <c r="D248" s="279"/>
      <c r="E248" s="279"/>
      <c r="F248" s="281"/>
      <c r="G248" s="281"/>
      <c r="H248" s="25" t="str">
        <f t="shared" si="13"/>
        <v/>
      </c>
      <c r="I248" s="25" t="str">
        <f t="shared" si="14"/>
        <v/>
      </c>
      <c r="J248" s="26" t="str">
        <f t="shared" si="15"/>
        <v/>
      </c>
      <c r="K248" s="252" t="str">
        <f>IF(B248="Printemps",_xlfn.DAYS(A248,' Elevage'!N$17),IF(B248="Eté",_xlfn.DAYS(A248,' Elevage'!N$18),IF(B248="Automne",_xlfn.DAYS(A248,' Elevage'!N$19),IF(B248="Hiver",_xlfn.DAYS(A248,' Elevage'!N$16),IF(B248="Stock",_xlfn.DAYS(A248,' Elevage'!N$12),"")))))</f>
        <v/>
      </c>
    </row>
    <row r="249" spans="1:11" x14ac:dyDescent="0.5">
      <c r="A249" s="280"/>
      <c r="B249" s="279"/>
      <c r="C249" s="279"/>
      <c r="D249" s="279"/>
      <c r="E249" s="279"/>
      <c r="F249" s="281"/>
      <c r="G249" s="281"/>
      <c r="H249" s="25" t="str">
        <f t="shared" si="13"/>
        <v/>
      </c>
      <c r="I249" s="25" t="str">
        <f t="shared" si="14"/>
        <v/>
      </c>
      <c r="J249" s="26" t="str">
        <f t="shared" si="15"/>
        <v/>
      </c>
      <c r="K249" s="252" t="str">
        <f>IF(B249="Printemps",_xlfn.DAYS(A249,' Elevage'!N$17),IF(B249="Eté",_xlfn.DAYS(A249,' Elevage'!N$18),IF(B249="Automne",_xlfn.DAYS(A249,' Elevage'!N$19),IF(B249="Hiver",_xlfn.DAYS(A249,' Elevage'!N$16),IF(B249="Stock",_xlfn.DAYS(A249,' Elevage'!N$12),"")))))</f>
        <v/>
      </c>
    </row>
    <row r="250" spans="1:11" x14ac:dyDescent="0.5">
      <c r="A250" s="280"/>
      <c r="B250" s="279"/>
      <c r="C250" s="279"/>
      <c r="D250" s="279"/>
      <c r="E250" s="279"/>
      <c r="F250" s="281"/>
      <c r="G250" s="281"/>
      <c r="H250" s="25" t="str">
        <f t="shared" si="13"/>
        <v/>
      </c>
      <c r="I250" s="25" t="str">
        <f t="shared" si="14"/>
        <v/>
      </c>
      <c r="J250" s="26" t="str">
        <f t="shared" si="15"/>
        <v/>
      </c>
      <c r="K250" s="252" t="str">
        <f>IF(B250="Printemps",_xlfn.DAYS(A250,' Elevage'!N$17),IF(B250="Eté",_xlfn.DAYS(A250,' Elevage'!N$18),IF(B250="Automne",_xlfn.DAYS(A250,' Elevage'!N$19),IF(B250="Hiver",_xlfn.DAYS(A250,' Elevage'!N$16),IF(B250="Stock",_xlfn.DAYS(A250,' Elevage'!N$12),"")))))</f>
        <v/>
      </c>
    </row>
    <row r="251" spans="1:11" x14ac:dyDescent="0.5">
      <c r="A251" s="280"/>
      <c r="B251" s="279"/>
      <c r="C251" s="279"/>
      <c r="D251" s="279"/>
      <c r="E251" s="279"/>
      <c r="F251" s="281"/>
      <c r="G251" s="281"/>
      <c r="H251" s="25" t="str">
        <f t="shared" si="13"/>
        <v/>
      </c>
      <c r="I251" s="25" t="str">
        <f t="shared" si="14"/>
        <v/>
      </c>
      <c r="J251" s="26" t="str">
        <f t="shared" si="15"/>
        <v/>
      </c>
      <c r="K251" s="252" t="str">
        <f>IF(B251="Printemps",_xlfn.DAYS(A251,' Elevage'!N$17),IF(B251="Eté",_xlfn.DAYS(A251,' Elevage'!N$18),IF(B251="Automne",_xlfn.DAYS(A251,' Elevage'!N$19),IF(B251="Hiver",_xlfn.DAYS(A251,' Elevage'!N$16),IF(B251="Stock",_xlfn.DAYS(A251,' Elevage'!N$12),"")))))</f>
        <v/>
      </c>
    </row>
    <row r="252" spans="1:11" x14ac:dyDescent="0.5">
      <c r="A252" s="280"/>
      <c r="B252" s="279"/>
      <c r="C252" s="279"/>
      <c r="D252" s="279"/>
      <c r="E252" s="279"/>
      <c r="F252" s="281"/>
      <c r="G252" s="281"/>
      <c r="H252" s="25" t="str">
        <f t="shared" si="13"/>
        <v/>
      </c>
      <c r="I252" s="25" t="str">
        <f t="shared" si="14"/>
        <v/>
      </c>
      <c r="J252" s="26" t="str">
        <f t="shared" si="15"/>
        <v/>
      </c>
      <c r="K252" s="252" t="str">
        <f>IF(B252="Printemps",_xlfn.DAYS(A252,' Elevage'!N$17),IF(B252="Eté",_xlfn.DAYS(A252,' Elevage'!N$18),IF(B252="Automne",_xlfn.DAYS(A252,' Elevage'!N$19),IF(B252="Hiver",_xlfn.DAYS(A252,' Elevage'!N$16),IF(B252="Stock",_xlfn.DAYS(A252,' Elevage'!N$12),"")))))</f>
        <v/>
      </c>
    </row>
    <row r="253" spans="1:11" x14ac:dyDescent="0.5">
      <c r="A253" s="280"/>
      <c r="B253" s="279"/>
      <c r="C253" s="279"/>
      <c r="D253" s="279"/>
      <c r="E253" s="279"/>
      <c r="F253" s="281"/>
      <c r="G253" s="281"/>
      <c r="H253" s="25" t="str">
        <f t="shared" si="13"/>
        <v/>
      </c>
      <c r="I253" s="25" t="str">
        <f t="shared" si="14"/>
        <v/>
      </c>
      <c r="J253" s="26" t="str">
        <f t="shared" si="15"/>
        <v/>
      </c>
      <c r="K253" s="252" t="str">
        <f>IF(B253="Printemps",_xlfn.DAYS(A253,' Elevage'!N$17),IF(B253="Eté",_xlfn.DAYS(A253,' Elevage'!N$18),IF(B253="Automne",_xlfn.DAYS(A253,' Elevage'!N$19),IF(B253="Hiver",_xlfn.DAYS(A253,' Elevage'!N$16),IF(B253="Stock",_xlfn.DAYS(A253,' Elevage'!N$12),"")))))</f>
        <v/>
      </c>
    </row>
    <row r="254" spans="1:11" x14ac:dyDescent="0.5">
      <c r="A254" s="280"/>
      <c r="B254" s="279"/>
      <c r="C254" s="279"/>
      <c r="D254" s="279"/>
      <c r="E254" s="279"/>
      <c r="F254" s="281"/>
      <c r="G254" s="281"/>
      <c r="H254" s="25" t="str">
        <f t="shared" si="13"/>
        <v/>
      </c>
      <c r="I254" s="25" t="str">
        <f t="shared" si="14"/>
        <v/>
      </c>
      <c r="J254" s="26" t="str">
        <f t="shared" si="15"/>
        <v/>
      </c>
      <c r="K254" s="252" t="str">
        <f>IF(B254="Printemps",_xlfn.DAYS(A254,' Elevage'!N$17),IF(B254="Eté",_xlfn.DAYS(A254,' Elevage'!N$18),IF(B254="Automne",_xlfn.DAYS(A254,' Elevage'!N$19),IF(B254="Hiver",_xlfn.DAYS(A254,' Elevage'!N$16),IF(B254="Stock",_xlfn.DAYS(A254,' Elevage'!N$12),"")))))</f>
        <v/>
      </c>
    </row>
    <row r="255" spans="1:11" x14ac:dyDescent="0.5">
      <c r="A255" s="280"/>
      <c r="B255" s="279"/>
      <c r="C255" s="279"/>
      <c r="D255" s="279"/>
      <c r="E255" s="279"/>
      <c r="F255" s="281"/>
      <c r="G255" s="281"/>
      <c r="H255" s="25" t="str">
        <f t="shared" si="13"/>
        <v/>
      </c>
      <c r="I255" s="25" t="str">
        <f t="shared" si="14"/>
        <v/>
      </c>
      <c r="J255" s="26" t="str">
        <f t="shared" si="15"/>
        <v/>
      </c>
      <c r="K255" s="252" t="str">
        <f>IF(B255="Printemps",_xlfn.DAYS(A255,' Elevage'!N$17),IF(B255="Eté",_xlfn.DAYS(A255,' Elevage'!N$18),IF(B255="Automne",_xlfn.DAYS(A255,' Elevage'!N$19),IF(B255="Hiver",_xlfn.DAYS(A255,' Elevage'!N$16),IF(B255="Stock",_xlfn.DAYS(A255,' Elevage'!N$12),"")))))</f>
        <v/>
      </c>
    </row>
    <row r="256" spans="1:11" x14ac:dyDescent="0.5">
      <c r="A256" s="280"/>
      <c r="B256" s="279"/>
      <c r="C256" s="279"/>
      <c r="D256" s="279"/>
      <c r="E256" s="279"/>
      <c r="F256" s="281"/>
      <c r="G256" s="281"/>
      <c r="H256" s="25" t="str">
        <f t="shared" si="13"/>
        <v/>
      </c>
      <c r="I256" s="25" t="str">
        <f t="shared" si="14"/>
        <v/>
      </c>
      <c r="J256" s="26" t="str">
        <f t="shared" si="15"/>
        <v/>
      </c>
      <c r="K256" s="252" t="str">
        <f>IF(B256="Printemps",_xlfn.DAYS(A256,' Elevage'!N$17),IF(B256="Eté",_xlfn.DAYS(A256,' Elevage'!N$18),IF(B256="Automne",_xlfn.DAYS(A256,' Elevage'!N$19),IF(B256="Hiver",_xlfn.DAYS(A256,' Elevage'!N$16),IF(B256="Stock",_xlfn.DAYS(A256,' Elevage'!N$12),"")))))</f>
        <v/>
      </c>
    </row>
    <row r="257" spans="1:11" x14ac:dyDescent="0.5">
      <c r="A257" s="280"/>
      <c r="B257" s="279"/>
      <c r="C257" s="279"/>
      <c r="D257" s="279"/>
      <c r="E257" s="279"/>
      <c r="F257" s="281"/>
      <c r="G257" s="281"/>
      <c r="H257" s="25" t="str">
        <f t="shared" si="13"/>
        <v/>
      </c>
      <c r="I257" s="25" t="str">
        <f t="shared" si="14"/>
        <v/>
      </c>
      <c r="J257" s="26" t="str">
        <f t="shared" si="15"/>
        <v/>
      </c>
      <c r="K257" s="252" t="str">
        <f>IF(B257="Printemps",_xlfn.DAYS(A257,' Elevage'!N$17),IF(B257="Eté",_xlfn.DAYS(A257,' Elevage'!N$18),IF(B257="Automne",_xlfn.DAYS(A257,' Elevage'!N$19),IF(B257="Hiver",_xlfn.DAYS(A257,' Elevage'!N$16),IF(B257="Stock",_xlfn.DAYS(A257,' Elevage'!N$12),"")))))</f>
        <v/>
      </c>
    </row>
    <row r="258" spans="1:11" x14ac:dyDescent="0.5">
      <c r="A258" s="280"/>
      <c r="B258" s="279"/>
      <c r="C258" s="279"/>
      <c r="D258" s="279"/>
      <c r="E258" s="279"/>
      <c r="F258" s="281"/>
      <c r="G258" s="281"/>
      <c r="H258" s="25" t="str">
        <f t="shared" si="13"/>
        <v/>
      </c>
      <c r="I258" s="25" t="str">
        <f t="shared" si="14"/>
        <v/>
      </c>
      <c r="J258" s="26" t="str">
        <f t="shared" si="15"/>
        <v/>
      </c>
      <c r="K258" s="252" t="str">
        <f>IF(B258="Printemps",_xlfn.DAYS(A258,' Elevage'!N$17),IF(B258="Eté",_xlfn.DAYS(A258,' Elevage'!N$18),IF(B258="Automne",_xlfn.DAYS(A258,' Elevage'!N$19),IF(B258="Hiver",_xlfn.DAYS(A258,' Elevage'!N$16),IF(B258="Stock",_xlfn.DAYS(A258,' Elevage'!N$12),"")))))</f>
        <v/>
      </c>
    </row>
    <row r="259" spans="1:11" x14ac:dyDescent="0.5">
      <c r="A259" s="280"/>
      <c r="B259" s="279"/>
      <c r="C259" s="279"/>
      <c r="D259" s="279"/>
      <c r="E259" s="279"/>
      <c r="F259" s="281"/>
      <c r="G259" s="281"/>
      <c r="H259" s="25" t="str">
        <f t="shared" si="13"/>
        <v/>
      </c>
      <c r="I259" s="25" t="str">
        <f t="shared" si="14"/>
        <v/>
      </c>
      <c r="J259" s="26" t="str">
        <f t="shared" si="15"/>
        <v/>
      </c>
      <c r="K259" s="252" t="str">
        <f>IF(B259="Printemps",_xlfn.DAYS(A259,' Elevage'!N$17),IF(B259="Eté",_xlfn.DAYS(A259,' Elevage'!N$18),IF(B259="Automne",_xlfn.DAYS(A259,' Elevage'!N$19),IF(B259="Hiver",_xlfn.DAYS(A259,' Elevage'!N$16),IF(B259="Stock",_xlfn.DAYS(A259,' Elevage'!N$12),"")))))</f>
        <v/>
      </c>
    </row>
    <row r="260" spans="1:11" x14ac:dyDescent="0.5">
      <c r="A260" s="280"/>
      <c r="B260" s="279"/>
      <c r="C260" s="279"/>
      <c r="D260" s="279"/>
      <c r="E260" s="279"/>
      <c r="F260" s="281"/>
      <c r="G260" s="281"/>
      <c r="H260" s="25" t="str">
        <f t="shared" si="13"/>
        <v/>
      </c>
      <c r="I260" s="25" t="str">
        <f t="shared" si="14"/>
        <v/>
      </c>
      <c r="J260" s="26" t="str">
        <f t="shared" si="15"/>
        <v/>
      </c>
      <c r="K260" s="252" t="str">
        <f>IF(B260="Printemps",_xlfn.DAYS(A260,' Elevage'!N$17),IF(B260="Eté",_xlfn.DAYS(A260,' Elevage'!N$18),IF(B260="Automne",_xlfn.DAYS(A260,' Elevage'!N$19),IF(B260="Hiver",_xlfn.DAYS(A260,' Elevage'!N$16),IF(B260="Stock",_xlfn.DAYS(A260,' Elevage'!N$12),"")))))</f>
        <v/>
      </c>
    </row>
    <row r="261" spans="1:11" x14ac:dyDescent="0.5">
      <c r="A261" s="280"/>
      <c r="B261" s="279"/>
      <c r="C261" s="279"/>
      <c r="D261" s="279"/>
      <c r="E261" s="279"/>
      <c r="F261" s="281"/>
      <c r="G261" s="281"/>
      <c r="H261" s="25" t="str">
        <f t="shared" si="13"/>
        <v/>
      </c>
      <c r="I261" s="25" t="str">
        <f t="shared" si="14"/>
        <v/>
      </c>
      <c r="J261" s="26" t="str">
        <f t="shared" si="15"/>
        <v/>
      </c>
      <c r="K261" s="252" t="str">
        <f>IF(B261="Printemps",_xlfn.DAYS(A261,' Elevage'!N$17),IF(B261="Eté",_xlfn.DAYS(A261,' Elevage'!N$18),IF(B261="Automne",_xlfn.DAYS(A261,' Elevage'!N$19),IF(B261="Hiver",_xlfn.DAYS(A261,' Elevage'!N$16),IF(B261="Stock",_xlfn.DAYS(A261,' Elevage'!N$12),"")))))</f>
        <v/>
      </c>
    </row>
    <row r="262" spans="1:11" x14ac:dyDescent="0.5">
      <c r="A262" s="280"/>
      <c r="B262" s="279"/>
      <c r="C262" s="279"/>
      <c r="D262" s="279"/>
      <c r="E262" s="279"/>
      <c r="F262" s="281"/>
      <c r="G262" s="281"/>
      <c r="H262" s="25" t="str">
        <f t="shared" si="13"/>
        <v/>
      </c>
      <c r="I262" s="25" t="str">
        <f t="shared" si="14"/>
        <v/>
      </c>
      <c r="J262" s="26" t="str">
        <f t="shared" si="15"/>
        <v/>
      </c>
      <c r="K262" s="252" t="str">
        <f>IF(B262="Printemps",_xlfn.DAYS(A262,' Elevage'!N$17),IF(B262="Eté",_xlfn.DAYS(A262,' Elevage'!N$18),IF(B262="Automne",_xlfn.DAYS(A262,' Elevage'!N$19),IF(B262="Hiver",_xlfn.DAYS(A262,' Elevage'!N$16),IF(B262="Stock",_xlfn.DAYS(A262,' Elevage'!N$12),"")))))</f>
        <v/>
      </c>
    </row>
    <row r="263" spans="1:11" x14ac:dyDescent="0.5">
      <c r="A263" s="280"/>
      <c r="B263" s="279"/>
      <c r="C263" s="279"/>
      <c r="D263" s="279"/>
      <c r="E263" s="279"/>
      <c r="F263" s="281"/>
      <c r="G263" s="281"/>
      <c r="H263" s="25" t="str">
        <f t="shared" si="13"/>
        <v/>
      </c>
      <c r="I263" s="25" t="str">
        <f t="shared" si="14"/>
        <v/>
      </c>
      <c r="J263" s="26" t="str">
        <f t="shared" si="15"/>
        <v/>
      </c>
      <c r="K263" s="252" t="str">
        <f>IF(B263="Printemps",_xlfn.DAYS(A263,' Elevage'!N$17),IF(B263="Eté",_xlfn.DAYS(A263,' Elevage'!N$18),IF(B263="Automne",_xlfn.DAYS(A263,' Elevage'!N$19),IF(B263="Hiver",_xlfn.DAYS(A263,' Elevage'!N$16),IF(B263="Stock",_xlfn.DAYS(A263,' Elevage'!N$12),"")))))</f>
        <v/>
      </c>
    </row>
    <row r="264" spans="1:11" x14ac:dyDescent="0.5">
      <c r="A264" s="280"/>
      <c r="B264" s="279"/>
      <c r="C264" s="279"/>
      <c r="D264" s="279"/>
      <c r="E264" s="279"/>
      <c r="F264" s="281"/>
      <c r="G264" s="281"/>
      <c r="H264" s="25" t="str">
        <f t="shared" ref="H264:H327" si="16">IF(F264=0,"",F264/E264)</f>
        <v/>
      </c>
      <c r="I264" s="25" t="str">
        <f t="shared" ref="I264:I327" si="17">IF(F264=0,"",G264/F264)</f>
        <v/>
      </c>
      <c r="J264" s="26" t="str">
        <f t="shared" ref="J264:J327" si="18">IF(E264=0,"",G264/E264)</f>
        <v/>
      </c>
      <c r="K264" s="252" t="str">
        <f>IF(B264="Printemps",_xlfn.DAYS(A264,' Elevage'!N$17),IF(B264="Eté",_xlfn.DAYS(A264,' Elevage'!N$18),IF(B264="Automne",_xlfn.DAYS(A264,' Elevage'!N$19),IF(B264="Hiver",_xlfn.DAYS(A264,' Elevage'!N$16),IF(B264="Stock",_xlfn.DAYS(A264,' Elevage'!N$12),"")))))</f>
        <v/>
      </c>
    </row>
    <row r="265" spans="1:11" x14ac:dyDescent="0.5">
      <c r="A265" s="280"/>
      <c r="B265" s="279"/>
      <c r="C265" s="279"/>
      <c r="D265" s="279"/>
      <c r="E265" s="279"/>
      <c r="F265" s="281"/>
      <c r="G265" s="281"/>
      <c r="H265" s="25" t="str">
        <f t="shared" si="16"/>
        <v/>
      </c>
      <c r="I265" s="25" t="str">
        <f t="shared" si="17"/>
        <v/>
      </c>
      <c r="J265" s="26" t="str">
        <f t="shared" si="18"/>
        <v/>
      </c>
      <c r="K265" s="252" t="str">
        <f>IF(B265="Printemps",_xlfn.DAYS(A265,' Elevage'!N$17),IF(B265="Eté",_xlfn.DAYS(A265,' Elevage'!N$18),IF(B265="Automne",_xlfn.DAYS(A265,' Elevage'!N$19),IF(B265="Hiver",_xlfn.DAYS(A265,' Elevage'!N$16),IF(B265="Stock",_xlfn.DAYS(A265,' Elevage'!N$12),"")))))</f>
        <v/>
      </c>
    </row>
    <row r="266" spans="1:11" x14ac:dyDescent="0.5">
      <c r="A266" s="280"/>
      <c r="B266" s="279"/>
      <c r="C266" s="279"/>
      <c r="D266" s="279"/>
      <c r="E266" s="279"/>
      <c r="F266" s="281"/>
      <c r="G266" s="281"/>
      <c r="H266" s="25" t="str">
        <f t="shared" si="16"/>
        <v/>
      </c>
      <c r="I266" s="25" t="str">
        <f t="shared" si="17"/>
        <v/>
      </c>
      <c r="J266" s="26" t="str">
        <f t="shared" si="18"/>
        <v/>
      </c>
      <c r="K266" s="252" t="str">
        <f>IF(B266="Printemps",_xlfn.DAYS(A266,' Elevage'!N$17),IF(B266="Eté",_xlfn.DAYS(A266,' Elevage'!N$18),IF(B266="Automne",_xlfn.DAYS(A266,' Elevage'!N$19),IF(B266="Hiver",_xlfn.DAYS(A266,' Elevage'!N$16),IF(B266="Stock",_xlfn.DAYS(A266,' Elevage'!N$12),"")))))</f>
        <v/>
      </c>
    </row>
    <row r="267" spans="1:11" x14ac:dyDescent="0.5">
      <c r="A267" s="280"/>
      <c r="B267" s="279"/>
      <c r="C267" s="279"/>
      <c r="D267" s="279"/>
      <c r="E267" s="279"/>
      <c r="F267" s="281"/>
      <c r="G267" s="281"/>
      <c r="H267" s="25" t="str">
        <f t="shared" si="16"/>
        <v/>
      </c>
      <c r="I267" s="25" t="str">
        <f t="shared" si="17"/>
        <v/>
      </c>
      <c r="J267" s="26" t="str">
        <f t="shared" si="18"/>
        <v/>
      </c>
      <c r="K267" s="252" t="str">
        <f>IF(B267="Printemps",_xlfn.DAYS(A267,' Elevage'!N$17),IF(B267="Eté",_xlfn.DAYS(A267,' Elevage'!N$18),IF(B267="Automne",_xlfn.DAYS(A267,' Elevage'!N$19),IF(B267="Hiver",_xlfn.DAYS(A267,' Elevage'!N$16),IF(B267="Stock",_xlfn.DAYS(A267,' Elevage'!N$12),"")))))</f>
        <v/>
      </c>
    </row>
    <row r="268" spans="1:11" x14ac:dyDescent="0.5">
      <c r="A268" s="280"/>
      <c r="B268" s="279"/>
      <c r="C268" s="279"/>
      <c r="D268" s="279"/>
      <c r="E268" s="279"/>
      <c r="F268" s="281"/>
      <c r="G268" s="281"/>
      <c r="H268" s="25" t="str">
        <f t="shared" si="16"/>
        <v/>
      </c>
      <c r="I268" s="25" t="str">
        <f t="shared" si="17"/>
        <v/>
      </c>
      <c r="J268" s="26" t="str">
        <f t="shared" si="18"/>
        <v/>
      </c>
      <c r="K268" s="252" t="str">
        <f>IF(B268="Printemps",_xlfn.DAYS(A268,' Elevage'!N$17),IF(B268="Eté",_xlfn.DAYS(A268,' Elevage'!N$18),IF(B268="Automne",_xlfn.DAYS(A268,' Elevage'!N$19),IF(B268="Hiver",_xlfn.DAYS(A268,' Elevage'!N$16),IF(B268="Stock",_xlfn.DAYS(A268,' Elevage'!N$12),"")))))</f>
        <v/>
      </c>
    </row>
    <row r="269" spans="1:11" x14ac:dyDescent="0.5">
      <c r="A269" s="280"/>
      <c r="B269" s="279"/>
      <c r="C269" s="279"/>
      <c r="D269" s="279"/>
      <c r="E269" s="279"/>
      <c r="F269" s="281"/>
      <c r="G269" s="281"/>
      <c r="H269" s="25" t="str">
        <f t="shared" si="16"/>
        <v/>
      </c>
      <c r="I269" s="25" t="str">
        <f t="shared" si="17"/>
        <v/>
      </c>
      <c r="J269" s="26" t="str">
        <f t="shared" si="18"/>
        <v/>
      </c>
      <c r="K269" s="252" t="str">
        <f>IF(B269="Printemps",_xlfn.DAYS(A269,' Elevage'!N$17),IF(B269="Eté",_xlfn.DAYS(A269,' Elevage'!N$18),IF(B269="Automne",_xlfn.DAYS(A269,' Elevage'!N$19),IF(B269="Hiver",_xlfn.DAYS(A269,' Elevage'!N$16),IF(B269="Stock",_xlfn.DAYS(A269,' Elevage'!N$12),"")))))</f>
        <v/>
      </c>
    </row>
    <row r="270" spans="1:11" x14ac:dyDescent="0.5">
      <c r="A270" s="280"/>
      <c r="B270" s="279"/>
      <c r="C270" s="279"/>
      <c r="D270" s="279"/>
      <c r="E270" s="279"/>
      <c r="F270" s="281"/>
      <c r="G270" s="281"/>
      <c r="H270" s="25" t="str">
        <f t="shared" si="16"/>
        <v/>
      </c>
      <c r="I270" s="25" t="str">
        <f t="shared" si="17"/>
        <v/>
      </c>
      <c r="J270" s="26" t="str">
        <f t="shared" si="18"/>
        <v/>
      </c>
      <c r="K270" s="252" t="str">
        <f>IF(B270="Printemps",_xlfn.DAYS(A270,' Elevage'!N$17),IF(B270="Eté",_xlfn.DAYS(A270,' Elevage'!N$18),IF(B270="Automne",_xlfn.DAYS(A270,' Elevage'!N$19),IF(B270="Hiver",_xlfn.DAYS(A270,' Elevage'!N$16),IF(B270="Stock",_xlfn.DAYS(A270,' Elevage'!N$12),"")))))</f>
        <v/>
      </c>
    </row>
    <row r="271" spans="1:11" x14ac:dyDescent="0.5">
      <c r="A271" s="280"/>
      <c r="B271" s="279"/>
      <c r="C271" s="279"/>
      <c r="D271" s="279"/>
      <c r="E271" s="279"/>
      <c r="F271" s="281"/>
      <c r="G271" s="281"/>
      <c r="H271" s="25" t="str">
        <f t="shared" si="16"/>
        <v/>
      </c>
      <c r="I271" s="25" t="str">
        <f t="shared" si="17"/>
        <v/>
      </c>
      <c r="J271" s="26" t="str">
        <f t="shared" si="18"/>
        <v/>
      </c>
      <c r="K271" s="252" t="str">
        <f>IF(B271="Printemps",_xlfn.DAYS(A271,' Elevage'!N$17),IF(B271="Eté",_xlfn.DAYS(A271,' Elevage'!N$18),IF(B271="Automne",_xlfn.DAYS(A271,' Elevage'!N$19),IF(B271="Hiver",_xlfn.DAYS(A271,' Elevage'!N$16),IF(B271="Stock",_xlfn.DAYS(A271,' Elevage'!N$12),"")))))</f>
        <v/>
      </c>
    </row>
    <row r="272" spans="1:11" x14ac:dyDescent="0.5">
      <c r="A272" s="280"/>
      <c r="B272" s="279"/>
      <c r="C272" s="279"/>
      <c r="D272" s="279"/>
      <c r="E272" s="279"/>
      <c r="F272" s="281"/>
      <c r="G272" s="281"/>
      <c r="H272" s="25" t="str">
        <f t="shared" si="16"/>
        <v/>
      </c>
      <c r="I272" s="25" t="str">
        <f t="shared" si="17"/>
        <v/>
      </c>
      <c r="J272" s="26" t="str">
        <f t="shared" si="18"/>
        <v/>
      </c>
      <c r="K272" s="252" t="str">
        <f>IF(B272="Printemps",_xlfn.DAYS(A272,' Elevage'!N$17),IF(B272="Eté",_xlfn.DAYS(A272,' Elevage'!N$18),IF(B272="Automne",_xlfn.DAYS(A272,' Elevage'!N$19),IF(B272="Hiver",_xlfn.DAYS(A272,' Elevage'!N$16),IF(B272="Stock",_xlfn.DAYS(A272,' Elevage'!N$12),"")))))</f>
        <v/>
      </c>
    </row>
    <row r="273" spans="1:11" x14ac:dyDescent="0.5">
      <c r="A273" s="280"/>
      <c r="B273" s="279"/>
      <c r="C273" s="279"/>
      <c r="D273" s="279"/>
      <c r="E273" s="279"/>
      <c r="F273" s="281"/>
      <c r="G273" s="281"/>
      <c r="H273" s="25" t="str">
        <f t="shared" si="16"/>
        <v/>
      </c>
      <c r="I273" s="25" t="str">
        <f t="shared" si="17"/>
        <v/>
      </c>
      <c r="J273" s="26" t="str">
        <f t="shared" si="18"/>
        <v/>
      </c>
      <c r="K273" s="252" t="str">
        <f>IF(B273="Printemps",_xlfn.DAYS(A273,' Elevage'!N$17),IF(B273="Eté",_xlfn.DAYS(A273,' Elevage'!N$18),IF(B273="Automne",_xlfn.DAYS(A273,' Elevage'!N$19),IF(B273="Hiver",_xlfn.DAYS(A273,' Elevage'!N$16),IF(B273="Stock",_xlfn.DAYS(A273,' Elevage'!N$12),"")))))</f>
        <v/>
      </c>
    </row>
    <row r="274" spans="1:11" x14ac:dyDescent="0.5">
      <c r="A274" s="280"/>
      <c r="B274" s="279"/>
      <c r="C274" s="279"/>
      <c r="D274" s="279"/>
      <c r="E274" s="279"/>
      <c r="F274" s="281"/>
      <c r="G274" s="281"/>
      <c r="H274" s="25" t="str">
        <f t="shared" si="16"/>
        <v/>
      </c>
      <c r="I274" s="25" t="str">
        <f t="shared" si="17"/>
        <v/>
      </c>
      <c r="J274" s="26" t="str">
        <f t="shared" si="18"/>
        <v/>
      </c>
      <c r="K274" s="252" t="str">
        <f>IF(B274="Printemps",_xlfn.DAYS(A274,' Elevage'!N$17),IF(B274="Eté",_xlfn.DAYS(A274,' Elevage'!N$18),IF(B274="Automne",_xlfn.DAYS(A274,' Elevage'!N$19),IF(B274="Hiver",_xlfn.DAYS(A274,' Elevage'!N$16),IF(B274="Stock",_xlfn.DAYS(A274,' Elevage'!N$12),"")))))</f>
        <v/>
      </c>
    </row>
    <row r="275" spans="1:11" x14ac:dyDescent="0.5">
      <c r="A275" s="280"/>
      <c r="B275" s="279"/>
      <c r="C275" s="279"/>
      <c r="D275" s="279"/>
      <c r="E275" s="279"/>
      <c r="F275" s="281"/>
      <c r="G275" s="281"/>
      <c r="H275" s="25" t="str">
        <f t="shared" si="16"/>
        <v/>
      </c>
      <c r="I275" s="25" t="str">
        <f t="shared" si="17"/>
        <v/>
      </c>
      <c r="J275" s="26" t="str">
        <f t="shared" si="18"/>
        <v/>
      </c>
      <c r="K275" s="252" t="str">
        <f>IF(B275="Printemps",_xlfn.DAYS(A275,' Elevage'!N$17),IF(B275="Eté",_xlfn.DAYS(A275,' Elevage'!N$18),IF(B275="Automne",_xlfn.DAYS(A275,' Elevage'!N$19),IF(B275="Hiver",_xlfn.DAYS(A275,' Elevage'!N$16),IF(B275="Stock",_xlfn.DAYS(A275,' Elevage'!N$12),"")))))</f>
        <v/>
      </c>
    </row>
    <row r="276" spans="1:11" x14ac:dyDescent="0.5">
      <c r="A276" s="280"/>
      <c r="B276" s="279"/>
      <c r="C276" s="279"/>
      <c r="D276" s="279"/>
      <c r="E276" s="279"/>
      <c r="F276" s="281"/>
      <c r="G276" s="281"/>
      <c r="H276" s="25" t="str">
        <f t="shared" si="16"/>
        <v/>
      </c>
      <c r="I276" s="25" t="str">
        <f t="shared" si="17"/>
        <v/>
      </c>
      <c r="J276" s="26" t="str">
        <f t="shared" si="18"/>
        <v/>
      </c>
      <c r="K276" s="252" t="str">
        <f>IF(B276="Printemps",_xlfn.DAYS(A276,' Elevage'!N$17),IF(B276="Eté",_xlfn.DAYS(A276,' Elevage'!N$18),IF(B276="Automne",_xlfn.DAYS(A276,' Elevage'!N$19),IF(B276="Hiver",_xlfn.DAYS(A276,' Elevage'!N$16),IF(B276="Stock",_xlfn.DAYS(A276,' Elevage'!N$12),"")))))</f>
        <v/>
      </c>
    </row>
    <row r="277" spans="1:11" x14ac:dyDescent="0.5">
      <c r="A277" s="280"/>
      <c r="B277" s="279"/>
      <c r="C277" s="279"/>
      <c r="D277" s="279"/>
      <c r="E277" s="279"/>
      <c r="F277" s="281"/>
      <c r="G277" s="281"/>
      <c r="H277" s="25" t="str">
        <f t="shared" si="16"/>
        <v/>
      </c>
      <c r="I277" s="25" t="str">
        <f t="shared" si="17"/>
        <v/>
      </c>
      <c r="J277" s="26" t="str">
        <f t="shared" si="18"/>
        <v/>
      </c>
      <c r="K277" s="252" t="str">
        <f>IF(B277="Printemps",_xlfn.DAYS(A277,' Elevage'!N$17),IF(B277="Eté",_xlfn.DAYS(A277,' Elevage'!N$18),IF(B277="Automne",_xlfn.DAYS(A277,' Elevage'!N$19),IF(B277="Hiver",_xlfn.DAYS(A277,' Elevage'!N$16),IF(B277="Stock",_xlfn.DAYS(A277,' Elevage'!N$12),"")))))</f>
        <v/>
      </c>
    </row>
    <row r="278" spans="1:11" x14ac:dyDescent="0.5">
      <c r="A278" s="280"/>
      <c r="B278" s="279"/>
      <c r="C278" s="279"/>
      <c r="D278" s="279"/>
      <c r="E278" s="279"/>
      <c r="F278" s="281"/>
      <c r="G278" s="281"/>
      <c r="H278" s="25" t="str">
        <f t="shared" si="16"/>
        <v/>
      </c>
      <c r="I278" s="25" t="str">
        <f t="shared" si="17"/>
        <v/>
      </c>
      <c r="J278" s="26" t="str">
        <f t="shared" si="18"/>
        <v/>
      </c>
      <c r="K278" s="252" t="str">
        <f>IF(B278="Printemps",_xlfn.DAYS(A278,' Elevage'!N$17),IF(B278="Eté",_xlfn.DAYS(A278,' Elevage'!N$18),IF(B278="Automne",_xlfn.DAYS(A278,' Elevage'!N$19),IF(B278="Hiver",_xlfn.DAYS(A278,' Elevage'!N$16),IF(B278="Stock",_xlfn.DAYS(A278,' Elevage'!N$12),"")))))</f>
        <v/>
      </c>
    </row>
    <row r="279" spans="1:11" x14ac:dyDescent="0.5">
      <c r="A279" s="280"/>
      <c r="B279" s="279"/>
      <c r="C279" s="279"/>
      <c r="D279" s="279"/>
      <c r="E279" s="279"/>
      <c r="F279" s="281"/>
      <c r="G279" s="281"/>
      <c r="H279" s="25" t="str">
        <f t="shared" si="16"/>
        <v/>
      </c>
      <c r="I279" s="25" t="str">
        <f t="shared" si="17"/>
        <v/>
      </c>
      <c r="J279" s="26" t="str">
        <f t="shared" si="18"/>
        <v/>
      </c>
      <c r="K279" s="252" t="str">
        <f>IF(B279="Printemps",_xlfn.DAYS(A279,' Elevage'!N$17),IF(B279="Eté",_xlfn.DAYS(A279,' Elevage'!N$18),IF(B279="Automne",_xlfn.DAYS(A279,' Elevage'!N$19),IF(B279="Hiver",_xlfn.DAYS(A279,' Elevage'!N$16),IF(B279="Stock",_xlfn.DAYS(A279,' Elevage'!N$12),"")))))</f>
        <v/>
      </c>
    </row>
    <row r="280" spans="1:11" x14ac:dyDescent="0.5">
      <c r="A280" s="280"/>
      <c r="B280" s="279"/>
      <c r="C280" s="279"/>
      <c r="D280" s="279"/>
      <c r="E280" s="279"/>
      <c r="F280" s="281"/>
      <c r="G280" s="281"/>
      <c r="H280" s="25" t="str">
        <f t="shared" si="16"/>
        <v/>
      </c>
      <c r="I280" s="25" t="str">
        <f t="shared" si="17"/>
        <v/>
      </c>
      <c r="J280" s="26" t="str">
        <f t="shared" si="18"/>
        <v/>
      </c>
      <c r="K280" s="252" t="str">
        <f>IF(B280="Printemps",_xlfn.DAYS(A280,' Elevage'!N$17),IF(B280="Eté",_xlfn.DAYS(A280,' Elevage'!N$18),IF(B280="Automne",_xlfn.DAYS(A280,' Elevage'!N$19),IF(B280="Hiver",_xlfn.DAYS(A280,' Elevage'!N$16),IF(B280="Stock",_xlfn.DAYS(A280,' Elevage'!N$12),"")))))</f>
        <v/>
      </c>
    </row>
    <row r="281" spans="1:11" x14ac:dyDescent="0.5">
      <c r="A281" s="280"/>
      <c r="B281" s="279"/>
      <c r="C281" s="279"/>
      <c r="D281" s="279"/>
      <c r="E281" s="279"/>
      <c r="F281" s="281"/>
      <c r="G281" s="281"/>
      <c r="H281" s="25" t="str">
        <f t="shared" si="16"/>
        <v/>
      </c>
      <c r="I281" s="25" t="str">
        <f t="shared" si="17"/>
        <v/>
      </c>
      <c r="J281" s="26" t="str">
        <f t="shared" si="18"/>
        <v/>
      </c>
      <c r="K281" s="252" t="str">
        <f>IF(B281="Printemps",_xlfn.DAYS(A281,' Elevage'!N$17),IF(B281="Eté",_xlfn.DAYS(A281,' Elevage'!N$18),IF(B281="Automne",_xlfn.DAYS(A281,' Elevage'!N$19),IF(B281="Hiver",_xlfn.DAYS(A281,' Elevage'!N$16),IF(B281="Stock",_xlfn.DAYS(A281,' Elevage'!N$12),"")))))</f>
        <v/>
      </c>
    </row>
    <row r="282" spans="1:11" x14ac:dyDescent="0.5">
      <c r="A282" s="280"/>
      <c r="B282" s="279"/>
      <c r="C282" s="279"/>
      <c r="D282" s="279"/>
      <c r="E282" s="279"/>
      <c r="F282" s="281"/>
      <c r="G282" s="281"/>
      <c r="H282" s="25" t="str">
        <f t="shared" si="16"/>
        <v/>
      </c>
      <c r="I282" s="25" t="str">
        <f t="shared" si="17"/>
        <v/>
      </c>
      <c r="J282" s="26" t="str">
        <f t="shared" si="18"/>
        <v/>
      </c>
      <c r="K282" s="252" t="str">
        <f>IF(B282="Printemps",_xlfn.DAYS(A282,' Elevage'!N$17),IF(B282="Eté",_xlfn.DAYS(A282,' Elevage'!N$18),IF(B282="Automne",_xlfn.DAYS(A282,' Elevage'!N$19),IF(B282="Hiver",_xlfn.DAYS(A282,' Elevage'!N$16),IF(B282="Stock",_xlfn.DAYS(A282,' Elevage'!N$12),"")))))</f>
        <v/>
      </c>
    </row>
    <row r="283" spans="1:11" x14ac:dyDescent="0.5">
      <c r="A283" s="280"/>
      <c r="B283" s="279"/>
      <c r="C283" s="279"/>
      <c r="D283" s="279"/>
      <c r="E283" s="279"/>
      <c r="F283" s="281"/>
      <c r="G283" s="281"/>
      <c r="H283" s="25" t="str">
        <f t="shared" si="16"/>
        <v/>
      </c>
      <c r="I283" s="25" t="str">
        <f t="shared" si="17"/>
        <v/>
      </c>
      <c r="J283" s="26" t="str">
        <f t="shared" si="18"/>
        <v/>
      </c>
      <c r="K283" s="252" t="str">
        <f>IF(B283="Printemps",_xlfn.DAYS(A283,' Elevage'!N$17),IF(B283="Eté",_xlfn.DAYS(A283,' Elevage'!N$18),IF(B283="Automne",_xlfn.DAYS(A283,' Elevage'!N$19),IF(B283="Hiver",_xlfn.DAYS(A283,' Elevage'!N$16),IF(B283="Stock",_xlfn.DAYS(A283,' Elevage'!N$12),"")))))</f>
        <v/>
      </c>
    </row>
    <row r="284" spans="1:11" x14ac:dyDescent="0.5">
      <c r="A284" s="280"/>
      <c r="B284" s="279"/>
      <c r="C284" s="279"/>
      <c r="D284" s="279"/>
      <c r="E284" s="279"/>
      <c r="F284" s="281"/>
      <c r="G284" s="281"/>
      <c r="H284" s="25" t="str">
        <f t="shared" si="16"/>
        <v/>
      </c>
      <c r="I284" s="25" t="str">
        <f t="shared" si="17"/>
        <v/>
      </c>
      <c r="J284" s="26" t="str">
        <f t="shared" si="18"/>
        <v/>
      </c>
      <c r="K284" s="252" t="str">
        <f>IF(B284="Printemps",_xlfn.DAYS(A284,' Elevage'!N$17),IF(B284="Eté",_xlfn.DAYS(A284,' Elevage'!N$18),IF(B284="Automne",_xlfn.DAYS(A284,' Elevage'!N$19),IF(B284="Hiver",_xlfn.DAYS(A284,' Elevage'!N$16),IF(B284="Stock",_xlfn.DAYS(A284,' Elevage'!N$12),"")))))</f>
        <v/>
      </c>
    </row>
    <row r="285" spans="1:11" x14ac:dyDescent="0.5">
      <c r="A285" s="280"/>
      <c r="B285" s="279"/>
      <c r="C285" s="279"/>
      <c r="D285" s="279"/>
      <c r="E285" s="279"/>
      <c r="F285" s="281"/>
      <c r="G285" s="281"/>
      <c r="H285" s="25" t="str">
        <f t="shared" si="16"/>
        <v/>
      </c>
      <c r="I285" s="25" t="str">
        <f t="shared" si="17"/>
        <v/>
      </c>
      <c r="J285" s="26" t="str">
        <f t="shared" si="18"/>
        <v/>
      </c>
      <c r="K285" s="252" t="str">
        <f>IF(B285="Printemps",_xlfn.DAYS(A285,' Elevage'!N$17),IF(B285="Eté",_xlfn.DAYS(A285,' Elevage'!N$18),IF(B285="Automne",_xlfn.DAYS(A285,' Elevage'!N$19),IF(B285="Hiver",_xlfn.DAYS(A285,' Elevage'!N$16),IF(B285="Stock",_xlfn.DAYS(A285,' Elevage'!N$12),"")))))</f>
        <v/>
      </c>
    </row>
    <row r="286" spans="1:11" x14ac:dyDescent="0.5">
      <c r="A286" s="280"/>
      <c r="B286" s="279"/>
      <c r="C286" s="279"/>
      <c r="D286" s="279"/>
      <c r="E286" s="279"/>
      <c r="F286" s="281"/>
      <c r="G286" s="281"/>
      <c r="H286" s="25" t="str">
        <f t="shared" si="16"/>
        <v/>
      </c>
      <c r="I286" s="25" t="str">
        <f t="shared" si="17"/>
        <v/>
      </c>
      <c r="J286" s="26" t="str">
        <f t="shared" si="18"/>
        <v/>
      </c>
      <c r="K286" s="252" t="str">
        <f>IF(B286="Printemps",_xlfn.DAYS(A286,' Elevage'!N$17),IF(B286="Eté",_xlfn.DAYS(A286,' Elevage'!N$18),IF(B286="Automne",_xlfn.DAYS(A286,' Elevage'!N$19),IF(B286="Hiver",_xlfn.DAYS(A286,' Elevage'!N$16),IF(B286="Stock",_xlfn.DAYS(A286,' Elevage'!N$12),"")))))</f>
        <v/>
      </c>
    </row>
    <row r="287" spans="1:11" x14ac:dyDescent="0.5">
      <c r="A287" s="280"/>
      <c r="B287" s="279"/>
      <c r="C287" s="279"/>
      <c r="D287" s="279"/>
      <c r="E287" s="279"/>
      <c r="F287" s="281"/>
      <c r="G287" s="281"/>
      <c r="H287" s="25" t="str">
        <f t="shared" si="16"/>
        <v/>
      </c>
      <c r="I287" s="25" t="str">
        <f t="shared" si="17"/>
        <v/>
      </c>
      <c r="J287" s="26" t="str">
        <f t="shared" si="18"/>
        <v/>
      </c>
      <c r="K287" s="252" t="str">
        <f>IF(B287="Printemps",_xlfn.DAYS(A287,' Elevage'!N$17),IF(B287="Eté",_xlfn.DAYS(A287,' Elevage'!N$18),IF(B287="Automne",_xlfn.DAYS(A287,' Elevage'!N$19),IF(B287="Hiver",_xlfn.DAYS(A287,' Elevage'!N$16),IF(B287="Stock",_xlfn.DAYS(A287,' Elevage'!N$12),"")))))</f>
        <v/>
      </c>
    </row>
    <row r="288" spans="1:11" x14ac:dyDescent="0.5">
      <c r="A288" s="280"/>
      <c r="B288" s="279"/>
      <c r="C288" s="279"/>
      <c r="D288" s="279"/>
      <c r="E288" s="279"/>
      <c r="F288" s="281"/>
      <c r="G288" s="281"/>
      <c r="H288" s="25" t="str">
        <f t="shared" si="16"/>
        <v/>
      </c>
      <c r="I288" s="25" t="str">
        <f t="shared" si="17"/>
        <v/>
      </c>
      <c r="J288" s="26" t="str">
        <f t="shared" si="18"/>
        <v/>
      </c>
      <c r="K288" s="252" t="str">
        <f>IF(B288="Printemps",_xlfn.DAYS(A288,' Elevage'!N$17),IF(B288="Eté",_xlfn.DAYS(A288,' Elevage'!N$18),IF(B288="Automne",_xlfn.DAYS(A288,' Elevage'!N$19),IF(B288="Hiver",_xlfn.DAYS(A288,' Elevage'!N$16),IF(B288="Stock",_xlfn.DAYS(A288,' Elevage'!N$12),"")))))</f>
        <v/>
      </c>
    </row>
    <row r="289" spans="1:11" x14ac:dyDescent="0.5">
      <c r="A289" s="280"/>
      <c r="B289" s="279"/>
      <c r="C289" s="279"/>
      <c r="D289" s="279"/>
      <c r="E289" s="279"/>
      <c r="F289" s="281"/>
      <c r="G289" s="281"/>
      <c r="H289" s="25" t="str">
        <f t="shared" si="16"/>
        <v/>
      </c>
      <c r="I289" s="25" t="str">
        <f t="shared" si="17"/>
        <v/>
      </c>
      <c r="J289" s="26" t="str">
        <f t="shared" si="18"/>
        <v/>
      </c>
      <c r="K289" s="252" t="str">
        <f>IF(B289="Printemps",_xlfn.DAYS(A289,' Elevage'!N$17),IF(B289="Eté",_xlfn.DAYS(A289,' Elevage'!N$18),IF(B289="Automne",_xlfn.DAYS(A289,' Elevage'!N$19),IF(B289="Hiver",_xlfn.DAYS(A289,' Elevage'!N$16),IF(B289="Stock",_xlfn.DAYS(A289,' Elevage'!N$12),"")))))</f>
        <v/>
      </c>
    </row>
    <row r="290" spans="1:11" x14ac:dyDescent="0.5">
      <c r="A290" s="280"/>
      <c r="B290" s="279"/>
      <c r="C290" s="279"/>
      <c r="D290" s="279"/>
      <c r="E290" s="279"/>
      <c r="F290" s="281"/>
      <c r="G290" s="281"/>
      <c r="H290" s="25" t="str">
        <f t="shared" si="16"/>
        <v/>
      </c>
      <c r="I290" s="25" t="str">
        <f t="shared" si="17"/>
        <v/>
      </c>
      <c r="J290" s="26" t="str">
        <f t="shared" si="18"/>
        <v/>
      </c>
      <c r="K290" s="252" t="str">
        <f>IF(B290="Printemps",_xlfn.DAYS(A290,' Elevage'!N$17),IF(B290="Eté",_xlfn.DAYS(A290,' Elevage'!N$18),IF(B290="Automne",_xlfn.DAYS(A290,' Elevage'!N$19),IF(B290="Hiver",_xlfn.DAYS(A290,' Elevage'!N$16),IF(B290="Stock",_xlfn.DAYS(A290,' Elevage'!N$12),"")))))</f>
        <v/>
      </c>
    </row>
    <row r="291" spans="1:11" x14ac:dyDescent="0.5">
      <c r="A291" s="280"/>
      <c r="B291" s="279"/>
      <c r="C291" s="279"/>
      <c r="D291" s="279"/>
      <c r="E291" s="279"/>
      <c r="F291" s="281"/>
      <c r="G291" s="281"/>
      <c r="H291" s="25" t="str">
        <f t="shared" si="16"/>
        <v/>
      </c>
      <c r="I291" s="25" t="str">
        <f t="shared" si="17"/>
        <v/>
      </c>
      <c r="J291" s="26" t="str">
        <f t="shared" si="18"/>
        <v/>
      </c>
      <c r="K291" s="252" t="str">
        <f>IF(B291="Printemps",_xlfn.DAYS(A291,' Elevage'!N$17),IF(B291="Eté",_xlfn.DAYS(A291,' Elevage'!N$18),IF(B291="Automne",_xlfn.DAYS(A291,' Elevage'!N$19),IF(B291="Hiver",_xlfn.DAYS(A291,' Elevage'!N$16),IF(B291="Stock",_xlfn.DAYS(A291,' Elevage'!N$12),"")))))</f>
        <v/>
      </c>
    </row>
    <row r="292" spans="1:11" x14ac:dyDescent="0.5">
      <c r="A292" s="280"/>
      <c r="B292" s="279"/>
      <c r="C292" s="279"/>
      <c r="D292" s="279"/>
      <c r="E292" s="279"/>
      <c r="F292" s="281"/>
      <c r="G292" s="281"/>
      <c r="H292" s="25" t="str">
        <f t="shared" si="16"/>
        <v/>
      </c>
      <c r="I292" s="25" t="str">
        <f t="shared" si="17"/>
        <v/>
      </c>
      <c r="J292" s="26" t="str">
        <f t="shared" si="18"/>
        <v/>
      </c>
      <c r="K292" s="252" t="str">
        <f>IF(B292="Printemps",_xlfn.DAYS(A292,' Elevage'!N$17),IF(B292="Eté",_xlfn.DAYS(A292,' Elevage'!N$18),IF(B292="Automne",_xlfn.DAYS(A292,' Elevage'!N$19),IF(B292="Hiver",_xlfn.DAYS(A292,' Elevage'!N$16),IF(B292="Stock",_xlfn.DAYS(A292,' Elevage'!N$12),"")))))</f>
        <v/>
      </c>
    </row>
    <row r="293" spans="1:11" x14ac:dyDescent="0.5">
      <c r="A293" s="280"/>
      <c r="B293" s="279"/>
      <c r="C293" s="279"/>
      <c r="D293" s="279"/>
      <c r="E293" s="279"/>
      <c r="F293" s="281"/>
      <c r="G293" s="281"/>
      <c r="H293" s="25" t="str">
        <f t="shared" si="16"/>
        <v/>
      </c>
      <c r="I293" s="25" t="str">
        <f t="shared" si="17"/>
        <v/>
      </c>
      <c r="J293" s="26" t="str">
        <f t="shared" si="18"/>
        <v/>
      </c>
      <c r="K293" s="252" t="str">
        <f>IF(B293="Printemps",_xlfn.DAYS(A293,' Elevage'!N$17),IF(B293="Eté",_xlfn.DAYS(A293,' Elevage'!N$18),IF(B293="Automne",_xlfn.DAYS(A293,' Elevage'!N$19),IF(B293="Hiver",_xlfn.DAYS(A293,' Elevage'!N$16),IF(B293="Stock",_xlfn.DAYS(A293,' Elevage'!N$12),"")))))</f>
        <v/>
      </c>
    </row>
    <row r="294" spans="1:11" x14ac:dyDescent="0.5">
      <c r="A294" s="280"/>
      <c r="B294" s="279"/>
      <c r="C294" s="279"/>
      <c r="D294" s="279"/>
      <c r="E294" s="279"/>
      <c r="F294" s="281"/>
      <c r="G294" s="281"/>
      <c r="H294" s="25" t="str">
        <f t="shared" si="16"/>
        <v/>
      </c>
      <c r="I294" s="25" t="str">
        <f t="shared" si="17"/>
        <v/>
      </c>
      <c r="J294" s="26" t="str">
        <f t="shared" si="18"/>
        <v/>
      </c>
      <c r="K294" s="252" t="str">
        <f>IF(B294="Printemps",_xlfn.DAYS(A294,' Elevage'!N$17),IF(B294="Eté",_xlfn.DAYS(A294,' Elevage'!N$18),IF(B294="Automne",_xlfn.DAYS(A294,' Elevage'!N$19),IF(B294="Hiver",_xlfn.DAYS(A294,' Elevage'!N$16),IF(B294="Stock",_xlfn.DAYS(A294,' Elevage'!N$12),"")))))</f>
        <v/>
      </c>
    </row>
    <row r="295" spans="1:11" x14ac:dyDescent="0.5">
      <c r="A295" s="280"/>
      <c r="B295" s="279"/>
      <c r="C295" s="279"/>
      <c r="D295" s="279"/>
      <c r="E295" s="279"/>
      <c r="F295" s="281"/>
      <c r="G295" s="281"/>
      <c r="H295" s="25" t="str">
        <f t="shared" si="16"/>
        <v/>
      </c>
      <c r="I295" s="25" t="str">
        <f t="shared" si="17"/>
        <v/>
      </c>
      <c r="J295" s="26" t="str">
        <f t="shared" si="18"/>
        <v/>
      </c>
      <c r="K295" s="252" t="str">
        <f>IF(B295="Printemps",_xlfn.DAYS(A295,' Elevage'!N$17),IF(B295="Eté",_xlfn.DAYS(A295,' Elevage'!N$18),IF(B295="Automne",_xlfn.DAYS(A295,' Elevage'!N$19),IF(B295="Hiver",_xlfn.DAYS(A295,' Elevage'!N$16),IF(B295="Stock",_xlfn.DAYS(A295,' Elevage'!N$12),"")))))</f>
        <v/>
      </c>
    </row>
    <row r="296" spans="1:11" x14ac:dyDescent="0.5">
      <c r="A296" s="280"/>
      <c r="B296" s="279"/>
      <c r="C296" s="279"/>
      <c r="D296" s="279"/>
      <c r="E296" s="279"/>
      <c r="F296" s="281"/>
      <c r="G296" s="281"/>
      <c r="H296" s="25" t="str">
        <f t="shared" si="16"/>
        <v/>
      </c>
      <c r="I296" s="25" t="str">
        <f t="shared" si="17"/>
        <v/>
      </c>
      <c r="J296" s="26" t="str">
        <f t="shared" si="18"/>
        <v/>
      </c>
      <c r="K296" s="252" t="str">
        <f>IF(B296="Printemps",_xlfn.DAYS(A296,' Elevage'!N$17),IF(B296="Eté",_xlfn.DAYS(A296,' Elevage'!N$18),IF(B296="Automne",_xlfn.DAYS(A296,' Elevage'!N$19),IF(B296="Hiver",_xlfn.DAYS(A296,' Elevage'!N$16),IF(B296="Stock",_xlfn.DAYS(A296,' Elevage'!N$12),"")))))</f>
        <v/>
      </c>
    </row>
    <row r="297" spans="1:11" x14ac:dyDescent="0.5">
      <c r="A297" s="280"/>
      <c r="B297" s="279"/>
      <c r="C297" s="279"/>
      <c r="D297" s="279"/>
      <c r="E297" s="279"/>
      <c r="F297" s="281"/>
      <c r="G297" s="281"/>
      <c r="H297" s="25" t="str">
        <f t="shared" si="16"/>
        <v/>
      </c>
      <c r="I297" s="25" t="str">
        <f t="shared" si="17"/>
        <v/>
      </c>
      <c r="J297" s="26" t="str">
        <f t="shared" si="18"/>
        <v/>
      </c>
      <c r="K297" s="252" t="str">
        <f>IF(B297="Printemps",_xlfn.DAYS(A297,' Elevage'!N$17),IF(B297="Eté",_xlfn.DAYS(A297,' Elevage'!N$18),IF(B297="Automne",_xlfn.DAYS(A297,' Elevage'!N$19),IF(B297="Hiver",_xlfn.DAYS(A297,' Elevage'!N$16),IF(B297="Stock",_xlfn.DAYS(A297,' Elevage'!N$12),"")))))</f>
        <v/>
      </c>
    </row>
    <row r="298" spans="1:11" x14ac:dyDescent="0.5">
      <c r="A298" s="280"/>
      <c r="B298" s="279"/>
      <c r="C298" s="279"/>
      <c r="D298" s="279"/>
      <c r="E298" s="279"/>
      <c r="F298" s="281"/>
      <c r="G298" s="281"/>
      <c r="H298" s="25" t="str">
        <f t="shared" si="16"/>
        <v/>
      </c>
      <c r="I298" s="25" t="str">
        <f t="shared" si="17"/>
        <v/>
      </c>
      <c r="J298" s="26" t="str">
        <f t="shared" si="18"/>
        <v/>
      </c>
      <c r="K298" s="252" t="str">
        <f>IF(B298="Printemps",_xlfn.DAYS(A298,' Elevage'!N$17),IF(B298="Eté",_xlfn.DAYS(A298,' Elevage'!N$18),IF(B298="Automne",_xlfn.DAYS(A298,' Elevage'!N$19),IF(B298="Hiver",_xlfn.DAYS(A298,' Elevage'!N$16),IF(B298="Stock",_xlfn.DAYS(A298,' Elevage'!N$12),"")))))</f>
        <v/>
      </c>
    </row>
    <row r="299" spans="1:11" x14ac:dyDescent="0.5">
      <c r="A299" s="280"/>
      <c r="B299" s="279"/>
      <c r="C299" s="279"/>
      <c r="D299" s="279"/>
      <c r="E299" s="279"/>
      <c r="F299" s="281"/>
      <c r="G299" s="281"/>
      <c r="H299" s="25" t="str">
        <f t="shared" si="16"/>
        <v/>
      </c>
      <c r="I299" s="25" t="str">
        <f t="shared" si="17"/>
        <v/>
      </c>
      <c r="J299" s="26" t="str">
        <f t="shared" si="18"/>
        <v/>
      </c>
      <c r="K299" s="252" t="str">
        <f>IF(B299="Printemps",_xlfn.DAYS(A299,' Elevage'!N$17),IF(B299="Eté",_xlfn.DAYS(A299,' Elevage'!N$18),IF(B299="Automne",_xlfn.DAYS(A299,' Elevage'!N$19),IF(B299="Hiver",_xlfn.DAYS(A299,' Elevage'!N$16),IF(B299="Stock",_xlfn.DAYS(A299,' Elevage'!N$12),"")))))</f>
        <v/>
      </c>
    </row>
    <row r="300" spans="1:11" x14ac:dyDescent="0.5">
      <c r="A300" s="280"/>
      <c r="B300" s="279"/>
      <c r="C300" s="279"/>
      <c r="D300" s="279"/>
      <c r="E300" s="279"/>
      <c r="F300" s="281"/>
      <c r="G300" s="281"/>
      <c r="H300" s="25" t="str">
        <f t="shared" si="16"/>
        <v/>
      </c>
      <c r="I300" s="25" t="str">
        <f t="shared" si="17"/>
        <v/>
      </c>
      <c r="J300" s="26" t="str">
        <f t="shared" si="18"/>
        <v/>
      </c>
      <c r="K300" s="252" t="str">
        <f>IF(B300="Printemps",_xlfn.DAYS(A300,' Elevage'!N$17),IF(B300="Eté",_xlfn.DAYS(A300,' Elevage'!N$18),IF(B300="Automne",_xlfn.DAYS(A300,' Elevage'!N$19),IF(B300="Hiver",_xlfn.DAYS(A300,' Elevage'!N$16),IF(B300="Stock",_xlfn.DAYS(A300,' Elevage'!N$12),"")))))</f>
        <v/>
      </c>
    </row>
    <row r="301" spans="1:11" x14ac:dyDescent="0.5">
      <c r="A301" s="280"/>
      <c r="B301" s="279"/>
      <c r="C301" s="279"/>
      <c r="D301" s="279"/>
      <c r="E301" s="279"/>
      <c r="F301" s="281"/>
      <c r="G301" s="281"/>
      <c r="H301" s="25" t="str">
        <f t="shared" si="16"/>
        <v/>
      </c>
      <c r="I301" s="25" t="str">
        <f t="shared" si="17"/>
        <v/>
      </c>
      <c r="J301" s="26" t="str">
        <f t="shared" si="18"/>
        <v/>
      </c>
      <c r="K301" s="252" t="str">
        <f>IF(B301="Printemps",_xlfn.DAYS(A301,' Elevage'!N$17),IF(B301="Eté",_xlfn.DAYS(A301,' Elevage'!N$18),IF(B301="Automne",_xlfn.DAYS(A301,' Elevage'!N$19),IF(B301="Hiver",_xlfn.DAYS(A301,' Elevage'!N$16),IF(B301="Stock",_xlfn.DAYS(A301,' Elevage'!N$12),"")))))</f>
        <v/>
      </c>
    </row>
    <row r="302" spans="1:11" x14ac:dyDescent="0.5">
      <c r="A302" s="280"/>
      <c r="B302" s="279"/>
      <c r="C302" s="279"/>
      <c r="D302" s="279"/>
      <c r="E302" s="279"/>
      <c r="F302" s="281"/>
      <c r="G302" s="281"/>
      <c r="H302" s="25" t="str">
        <f t="shared" si="16"/>
        <v/>
      </c>
      <c r="I302" s="25" t="str">
        <f t="shared" si="17"/>
        <v/>
      </c>
      <c r="J302" s="26" t="str">
        <f t="shared" si="18"/>
        <v/>
      </c>
      <c r="K302" s="252" t="str">
        <f>IF(B302="Printemps",_xlfn.DAYS(A302,' Elevage'!N$17),IF(B302="Eté",_xlfn.DAYS(A302,' Elevage'!N$18),IF(B302="Automne",_xlfn.DAYS(A302,' Elevage'!N$19),IF(B302="Hiver",_xlfn.DAYS(A302,' Elevage'!N$16),IF(B302="Stock",_xlfn.DAYS(A302,' Elevage'!N$12),"")))))</f>
        <v/>
      </c>
    </row>
    <row r="303" spans="1:11" x14ac:dyDescent="0.5">
      <c r="A303" s="280"/>
      <c r="B303" s="279"/>
      <c r="C303" s="279"/>
      <c r="D303" s="279"/>
      <c r="E303" s="279"/>
      <c r="F303" s="281"/>
      <c r="G303" s="281"/>
      <c r="H303" s="25" t="str">
        <f t="shared" si="16"/>
        <v/>
      </c>
      <c r="I303" s="25" t="str">
        <f t="shared" si="17"/>
        <v/>
      </c>
      <c r="J303" s="26" t="str">
        <f t="shared" si="18"/>
        <v/>
      </c>
      <c r="K303" s="252" t="str">
        <f>IF(B303="Printemps",_xlfn.DAYS(A303,' Elevage'!N$17),IF(B303="Eté",_xlfn.DAYS(A303,' Elevage'!N$18),IF(B303="Automne",_xlfn.DAYS(A303,' Elevage'!N$19),IF(B303="Hiver",_xlfn.DAYS(A303,' Elevage'!N$16),IF(B303="Stock",_xlfn.DAYS(A303,' Elevage'!N$12),"")))))</f>
        <v/>
      </c>
    </row>
    <row r="304" spans="1:11" x14ac:dyDescent="0.5">
      <c r="A304" s="280"/>
      <c r="B304" s="279"/>
      <c r="C304" s="279"/>
      <c r="D304" s="279"/>
      <c r="E304" s="279"/>
      <c r="F304" s="281"/>
      <c r="G304" s="281"/>
      <c r="H304" s="25" t="str">
        <f t="shared" si="16"/>
        <v/>
      </c>
      <c r="I304" s="25" t="str">
        <f t="shared" si="17"/>
        <v/>
      </c>
      <c r="J304" s="26" t="str">
        <f t="shared" si="18"/>
        <v/>
      </c>
      <c r="K304" s="252" t="str">
        <f>IF(B304="Printemps",_xlfn.DAYS(A304,' Elevage'!N$17),IF(B304="Eté",_xlfn.DAYS(A304,' Elevage'!N$18),IF(B304="Automne",_xlfn.DAYS(A304,' Elevage'!N$19),IF(B304="Hiver",_xlfn.DAYS(A304,' Elevage'!N$16),IF(B304="Stock",_xlfn.DAYS(A304,' Elevage'!N$12),"")))))</f>
        <v/>
      </c>
    </row>
    <row r="305" spans="1:11" x14ac:dyDescent="0.5">
      <c r="A305" s="280"/>
      <c r="B305" s="279"/>
      <c r="C305" s="279"/>
      <c r="D305" s="279"/>
      <c r="E305" s="279"/>
      <c r="F305" s="281"/>
      <c r="G305" s="281"/>
      <c r="H305" s="25" t="str">
        <f t="shared" si="16"/>
        <v/>
      </c>
      <c r="I305" s="25" t="str">
        <f t="shared" si="17"/>
        <v/>
      </c>
      <c r="J305" s="26" t="str">
        <f t="shared" si="18"/>
        <v/>
      </c>
      <c r="K305" s="252" t="str">
        <f>IF(B305="Printemps",_xlfn.DAYS(A305,' Elevage'!N$17),IF(B305="Eté",_xlfn.DAYS(A305,' Elevage'!N$18),IF(B305="Automne",_xlfn.DAYS(A305,' Elevage'!N$19),IF(B305="Hiver",_xlfn.DAYS(A305,' Elevage'!N$16),IF(B305="Stock",_xlfn.DAYS(A305,' Elevage'!N$12),"")))))</f>
        <v/>
      </c>
    </row>
    <row r="306" spans="1:11" x14ac:dyDescent="0.5">
      <c r="A306" s="280"/>
      <c r="B306" s="279"/>
      <c r="C306" s="279"/>
      <c r="D306" s="279"/>
      <c r="E306" s="279"/>
      <c r="F306" s="281"/>
      <c r="G306" s="281"/>
      <c r="H306" s="25" t="str">
        <f t="shared" si="16"/>
        <v/>
      </c>
      <c r="I306" s="25" t="str">
        <f t="shared" si="17"/>
        <v/>
      </c>
      <c r="J306" s="26" t="str">
        <f t="shared" si="18"/>
        <v/>
      </c>
      <c r="K306" s="252" t="str">
        <f>IF(B306="Printemps",_xlfn.DAYS(A306,' Elevage'!N$17),IF(B306="Eté",_xlfn.DAYS(A306,' Elevage'!N$18),IF(B306="Automne",_xlfn.DAYS(A306,' Elevage'!N$19),IF(B306="Hiver",_xlfn.DAYS(A306,' Elevage'!N$16),IF(B306="Stock",_xlfn.DAYS(A306,' Elevage'!N$12),"")))))</f>
        <v/>
      </c>
    </row>
    <row r="307" spans="1:11" x14ac:dyDescent="0.5">
      <c r="A307" s="280"/>
      <c r="B307" s="279"/>
      <c r="C307" s="279"/>
      <c r="D307" s="279"/>
      <c r="E307" s="279"/>
      <c r="F307" s="281"/>
      <c r="G307" s="281"/>
      <c r="H307" s="25" t="str">
        <f t="shared" si="16"/>
        <v/>
      </c>
      <c r="I307" s="25" t="str">
        <f t="shared" si="17"/>
        <v/>
      </c>
      <c r="J307" s="26" t="str">
        <f t="shared" si="18"/>
        <v/>
      </c>
      <c r="K307" s="252" t="str">
        <f>IF(B307="Printemps",_xlfn.DAYS(A307,' Elevage'!N$17),IF(B307="Eté",_xlfn.DAYS(A307,' Elevage'!N$18),IF(B307="Automne",_xlfn.DAYS(A307,' Elevage'!N$19),IF(B307="Hiver",_xlfn.DAYS(A307,' Elevage'!N$16),IF(B307="Stock",_xlfn.DAYS(A307,' Elevage'!N$12),"")))))</f>
        <v/>
      </c>
    </row>
    <row r="308" spans="1:11" x14ac:dyDescent="0.5">
      <c r="A308" s="280"/>
      <c r="B308" s="279"/>
      <c r="C308" s="279"/>
      <c r="D308" s="279"/>
      <c r="E308" s="279"/>
      <c r="F308" s="281"/>
      <c r="G308" s="281"/>
      <c r="H308" s="25" t="str">
        <f t="shared" si="16"/>
        <v/>
      </c>
      <c r="I308" s="25" t="str">
        <f t="shared" si="17"/>
        <v/>
      </c>
      <c r="J308" s="26" t="str">
        <f t="shared" si="18"/>
        <v/>
      </c>
      <c r="K308" s="252" t="str">
        <f>IF(B308="Printemps",_xlfn.DAYS(A308,' Elevage'!N$17),IF(B308="Eté",_xlfn.DAYS(A308,' Elevage'!N$18),IF(B308="Automne",_xlfn.DAYS(A308,' Elevage'!N$19),IF(B308="Hiver",_xlfn.DAYS(A308,' Elevage'!N$16),IF(B308="Stock",_xlfn.DAYS(A308,' Elevage'!N$12),"")))))</f>
        <v/>
      </c>
    </row>
    <row r="309" spans="1:11" x14ac:dyDescent="0.5">
      <c r="A309" s="280"/>
      <c r="B309" s="279"/>
      <c r="C309" s="279"/>
      <c r="D309" s="279"/>
      <c r="E309" s="279"/>
      <c r="F309" s="281"/>
      <c r="G309" s="281"/>
      <c r="H309" s="25" t="str">
        <f t="shared" si="16"/>
        <v/>
      </c>
      <c r="I309" s="25" t="str">
        <f t="shared" si="17"/>
        <v/>
      </c>
      <c r="J309" s="26" t="str">
        <f t="shared" si="18"/>
        <v/>
      </c>
      <c r="K309" s="252" t="str">
        <f>IF(B309="Printemps",_xlfn.DAYS(A309,' Elevage'!N$17),IF(B309="Eté",_xlfn.DAYS(A309,' Elevage'!N$18),IF(B309="Automne",_xlfn.DAYS(A309,' Elevage'!N$19),IF(B309="Hiver",_xlfn.DAYS(A309,' Elevage'!N$16),IF(B309="Stock",_xlfn.DAYS(A309,' Elevage'!N$12),"")))))</f>
        <v/>
      </c>
    </row>
    <row r="310" spans="1:11" x14ac:dyDescent="0.5">
      <c r="A310" s="280"/>
      <c r="B310" s="279"/>
      <c r="C310" s="279"/>
      <c r="D310" s="279"/>
      <c r="E310" s="279"/>
      <c r="F310" s="281"/>
      <c r="G310" s="281"/>
      <c r="H310" s="25" t="str">
        <f t="shared" si="16"/>
        <v/>
      </c>
      <c r="I310" s="25" t="str">
        <f t="shared" si="17"/>
        <v/>
      </c>
      <c r="J310" s="26" t="str">
        <f t="shared" si="18"/>
        <v/>
      </c>
      <c r="K310" s="252" t="str">
        <f>IF(B310="Printemps",_xlfn.DAYS(A310,' Elevage'!N$17),IF(B310="Eté",_xlfn.DAYS(A310,' Elevage'!N$18),IF(B310="Automne",_xlfn.DAYS(A310,' Elevage'!N$19),IF(B310="Hiver",_xlfn.DAYS(A310,' Elevage'!N$16),IF(B310="Stock",_xlfn.DAYS(A310,' Elevage'!N$12),"")))))</f>
        <v/>
      </c>
    </row>
    <row r="311" spans="1:11" x14ac:dyDescent="0.5">
      <c r="A311" s="280"/>
      <c r="B311" s="279"/>
      <c r="C311" s="279"/>
      <c r="D311" s="279"/>
      <c r="E311" s="279"/>
      <c r="F311" s="281"/>
      <c r="G311" s="281"/>
      <c r="H311" s="25" t="str">
        <f t="shared" si="16"/>
        <v/>
      </c>
      <c r="I311" s="25" t="str">
        <f t="shared" si="17"/>
        <v/>
      </c>
      <c r="J311" s="26" t="str">
        <f t="shared" si="18"/>
        <v/>
      </c>
      <c r="K311" s="252" t="str">
        <f>IF(B311="Printemps",_xlfn.DAYS(A311,' Elevage'!N$17),IF(B311="Eté",_xlfn.DAYS(A311,' Elevage'!N$18),IF(B311="Automne",_xlfn.DAYS(A311,' Elevage'!N$19),IF(B311="Hiver",_xlfn.DAYS(A311,' Elevage'!N$16),IF(B311="Stock",_xlfn.DAYS(A311,' Elevage'!N$12),"")))))</f>
        <v/>
      </c>
    </row>
    <row r="312" spans="1:11" x14ac:dyDescent="0.5">
      <c r="A312" s="280"/>
      <c r="B312" s="279"/>
      <c r="C312" s="279"/>
      <c r="D312" s="279"/>
      <c r="E312" s="279"/>
      <c r="F312" s="281"/>
      <c r="G312" s="281"/>
      <c r="H312" s="25" t="str">
        <f t="shared" si="16"/>
        <v/>
      </c>
      <c r="I312" s="25" t="str">
        <f t="shared" si="17"/>
        <v/>
      </c>
      <c r="J312" s="26" t="str">
        <f t="shared" si="18"/>
        <v/>
      </c>
      <c r="K312" s="252" t="str">
        <f>IF(B312="Printemps",_xlfn.DAYS(A312,' Elevage'!N$17),IF(B312="Eté",_xlfn.DAYS(A312,' Elevage'!N$18),IF(B312="Automne",_xlfn.DAYS(A312,' Elevage'!N$19),IF(B312="Hiver",_xlfn.DAYS(A312,' Elevage'!N$16),IF(B312="Stock",_xlfn.DAYS(A312,' Elevage'!N$12),"")))))</f>
        <v/>
      </c>
    </row>
    <row r="313" spans="1:11" x14ac:dyDescent="0.5">
      <c r="A313" s="280"/>
      <c r="B313" s="279"/>
      <c r="C313" s="279"/>
      <c r="D313" s="279"/>
      <c r="E313" s="279"/>
      <c r="F313" s="281"/>
      <c r="G313" s="281"/>
      <c r="H313" s="25" t="str">
        <f t="shared" si="16"/>
        <v/>
      </c>
      <c r="I313" s="25" t="str">
        <f t="shared" si="17"/>
        <v/>
      </c>
      <c r="J313" s="26" t="str">
        <f t="shared" si="18"/>
        <v/>
      </c>
      <c r="K313" s="252" t="str">
        <f>IF(B313="Printemps",_xlfn.DAYS(A313,' Elevage'!N$17),IF(B313="Eté",_xlfn.DAYS(A313,' Elevage'!N$18),IF(B313="Automne",_xlfn.DAYS(A313,' Elevage'!N$19),IF(B313="Hiver",_xlfn.DAYS(A313,' Elevage'!N$16),IF(B313="Stock",_xlfn.DAYS(A313,' Elevage'!N$12),"")))))</f>
        <v/>
      </c>
    </row>
    <row r="314" spans="1:11" x14ac:dyDescent="0.5">
      <c r="A314" s="280"/>
      <c r="B314" s="279"/>
      <c r="C314" s="279"/>
      <c r="D314" s="279"/>
      <c r="E314" s="279"/>
      <c r="F314" s="281"/>
      <c r="G314" s="281"/>
      <c r="H314" s="25" t="str">
        <f t="shared" si="16"/>
        <v/>
      </c>
      <c r="I314" s="25" t="str">
        <f t="shared" si="17"/>
        <v/>
      </c>
      <c r="J314" s="26" t="str">
        <f t="shared" si="18"/>
        <v/>
      </c>
      <c r="K314" s="252" t="str">
        <f>IF(B314="Printemps",_xlfn.DAYS(A314,' Elevage'!N$17),IF(B314="Eté",_xlfn.DAYS(A314,' Elevage'!N$18),IF(B314="Automne",_xlfn.DAYS(A314,' Elevage'!N$19),IF(B314="Hiver",_xlfn.DAYS(A314,' Elevage'!N$16),IF(B314="Stock",_xlfn.DAYS(A314,' Elevage'!N$12),"")))))</f>
        <v/>
      </c>
    </row>
    <row r="315" spans="1:11" x14ac:dyDescent="0.5">
      <c r="A315" s="280"/>
      <c r="B315" s="279"/>
      <c r="C315" s="279"/>
      <c r="D315" s="279"/>
      <c r="E315" s="279"/>
      <c r="F315" s="281"/>
      <c r="G315" s="281"/>
      <c r="H315" s="25" t="str">
        <f t="shared" si="16"/>
        <v/>
      </c>
      <c r="I315" s="25" t="str">
        <f t="shared" si="17"/>
        <v/>
      </c>
      <c r="J315" s="26" t="str">
        <f t="shared" si="18"/>
        <v/>
      </c>
      <c r="K315" s="252" t="str">
        <f>IF(B315="Printemps",_xlfn.DAYS(A315,' Elevage'!N$17),IF(B315="Eté",_xlfn.DAYS(A315,' Elevage'!N$18),IF(B315="Automne",_xlfn.DAYS(A315,' Elevage'!N$19),IF(B315="Hiver",_xlfn.DAYS(A315,' Elevage'!N$16),IF(B315="Stock",_xlfn.DAYS(A315,' Elevage'!N$12),"")))))</f>
        <v/>
      </c>
    </row>
    <row r="316" spans="1:11" x14ac:dyDescent="0.5">
      <c r="A316" s="280"/>
      <c r="B316" s="279"/>
      <c r="C316" s="279"/>
      <c r="D316" s="279"/>
      <c r="E316" s="279"/>
      <c r="F316" s="281"/>
      <c r="G316" s="281"/>
      <c r="H316" s="25" t="str">
        <f t="shared" si="16"/>
        <v/>
      </c>
      <c r="I316" s="25" t="str">
        <f t="shared" si="17"/>
        <v/>
      </c>
      <c r="J316" s="26" t="str">
        <f t="shared" si="18"/>
        <v/>
      </c>
      <c r="K316" s="252" t="str">
        <f>IF(B316="Printemps",_xlfn.DAYS(A316,' Elevage'!N$17),IF(B316="Eté",_xlfn.DAYS(A316,' Elevage'!N$18),IF(B316="Automne",_xlfn.DAYS(A316,' Elevage'!N$19),IF(B316="Hiver",_xlfn.DAYS(A316,' Elevage'!N$16),IF(B316="Stock",_xlfn.DAYS(A316,' Elevage'!N$12),"")))))</f>
        <v/>
      </c>
    </row>
    <row r="317" spans="1:11" x14ac:dyDescent="0.5">
      <c r="A317" s="280"/>
      <c r="B317" s="279"/>
      <c r="C317" s="279"/>
      <c r="D317" s="279"/>
      <c r="E317" s="279"/>
      <c r="F317" s="281"/>
      <c r="G317" s="281"/>
      <c r="H317" s="25" t="str">
        <f t="shared" si="16"/>
        <v/>
      </c>
      <c r="I317" s="25" t="str">
        <f t="shared" si="17"/>
        <v/>
      </c>
      <c r="J317" s="26" t="str">
        <f t="shared" si="18"/>
        <v/>
      </c>
      <c r="K317" s="252" t="str">
        <f>IF(B317="Printemps",_xlfn.DAYS(A317,' Elevage'!N$17),IF(B317="Eté",_xlfn.DAYS(A317,' Elevage'!N$18),IF(B317="Automne",_xlfn.DAYS(A317,' Elevage'!N$19),IF(B317="Hiver",_xlfn.DAYS(A317,' Elevage'!N$16),IF(B317="Stock",_xlfn.DAYS(A317,' Elevage'!N$12),"")))))</f>
        <v/>
      </c>
    </row>
    <row r="318" spans="1:11" x14ac:dyDescent="0.5">
      <c r="A318" s="280"/>
      <c r="B318" s="279"/>
      <c r="C318" s="279"/>
      <c r="D318" s="279"/>
      <c r="E318" s="279"/>
      <c r="F318" s="281"/>
      <c r="G318" s="281"/>
      <c r="H318" s="25" t="str">
        <f t="shared" si="16"/>
        <v/>
      </c>
      <c r="I318" s="25" t="str">
        <f t="shared" si="17"/>
        <v/>
      </c>
      <c r="J318" s="26" t="str">
        <f t="shared" si="18"/>
        <v/>
      </c>
      <c r="K318" s="252" t="str">
        <f>IF(B318="Printemps",_xlfn.DAYS(A318,' Elevage'!N$17),IF(B318="Eté",_xlfn.DAYS(A318,' Elevage'!N$18),IF(B318="Automne",_xlfn.DAYS(A318,' Elevage'!N$19),IF(B318="Hiver",_xlfn.DAYS(A318,' Elevage'!N$16),IF(B318="Stock",_xlfn.DAYS(A318,' Elevage'!N$12),"")))))</f>
        <v/>
      </c>
    </row>
    <row r="319" spans="1:11" x14ac:dyDescent="0.5">
      <c r="A319" s="280"/>
      <c r="B319" s="279"/>
      <c r="C319" s="279"/>
      <c r="D319" s="279"/>
      <c r="E319" s="279"/>
      <c r="F319" s="281"/>
      <c r="G319" s="281"/>
      <c r="H319" s="25" t="str">
        <f t="shared" si="16"/>
        <v/>
      </c>
      <c r="I319" s="25" t="str">
        <f t="shared" si="17"/>
        <v/>
      </c>
      <c r="J319" s="26" t="str">
        <f t="shared" si="18"/>
        <v/>
      </c>
      <c r="K319" s="252" t="str">
        <f>IF(B319="Printemps",_xlfn.DAYS(A319,' Elevage'!N$17),IF(B319="Eté",_xlfn.DAYS(A319,' Elevage'!N$18),IF(B319="Automne",_xlfn.DAYS(A319,' Elevage'!N$19),IF(B319="Hiver",_xlfn.DAYS(A319,' Elevage'!N$16),IF(B319="Stock",_xlfn.DAYS(A319,' Elevage'!N$12),"")))))</f>
        <v/>
      </c>
    </row>
    <row r="320" spans="1:11" x14ac:dyDescent="0.5">
      <c r="A320" s="280"/>
      <c r="B320" s="279"/>
      <c r="C320" s="279"/>
      <c r="D320" s="279"/>
      <c r="E320" s="279"/>
      <c r="F320" s="281"/>
      <c r="G320" s="281"/>
      <c r="H320" s="25" t="str">
        <f t="shared" si="16"/>
        <v/>
      </c>
      <c r="I320" s="25" t="str">
        <f t="shared" si="17"/>
        <v/>
      </c>
      <c r="J320" s="26" t="str">
        <f t="shared" si="18"/>
        <v/>
      </c>
      <c r="K320" s="252" t="str">
        <f>IF(B320="Printemps",_xlfn.DAYS(A320,' Elevage'!N$17),IF(B320="Eté",_xlfn.DAYS(A320,' Elevage'!N$18),IF(B320="Automne",_xlfn.DAYS(A320,' Elevage'!N$19),IF(B320="Hiver",_xlfn.DAYS(A320,' Elevage'!N$16),IF(B320="Stock",_xlfn.DAYS(A320,' Elevage'!N$12),"")))))</f>
        <v/>
      </c>
    </row>
    <row r="321" spans="1:11" x14ac:dyDescent="0.5">
      <c r="A321" s="280"/>
      <c r="B321" s="279"/>
      <c r="C321" s="279"/>
      <c r="D321" s="279"/>
      <c r="E321" s="279"/>
      <c r="F321" s="281"/>
      <c r="G321" s="281"/>
      <c r="H321" s="25" t="str">
        <f t="shared" si="16"/>
        <v/>
      </c>
      <c r="I321" s="25" t="str">
        <f t="shared" si="17"/>
        <v/>
      </c>
      <c r="J321" s="26" t="str">
        <f t="shared" si="18"/>
        <v/>
      </c>
      <c r="K321" s="252" t="str">
        <f>IF(B321="Printemps",_xlfn.DAYS(A321,' Elevage'!N$17),IF(B321="Eté",_xlfn.DAYS(A321,' Elevage'!N$18),IF(B321="Automne",_xlfn.DAYS(A321,' Elevage'!N$19),IF(B321="Hiver",_xlfn.DAYS(A321,' Elevage'!N$16),IF(B321="Stock",_xlfn.DAYS(A321,' Elevage'!N$12),"")))))</f>
        <v/>
      </c>
    </row>
    <row r="322" spans="1:11" x14ac:dyDescent="0.5">
      <c r="A322" s="280"/>
      <c r="B322" s="279"/>
      <c r="C322" s="279"/>
      <c r="D322" s="279"/>
      <c r="E322" s="279"/>
      <c r="F322" s="281"/>
      <c r="G322" s="281"/>
      <c r="H322" s="25" t="str">
        <f t="shared" si="16"/>
        <v/>
      </c>
      <c r="I322" s="25" t="str">
        <f t="shared" si="17"/>
        <v/>
      </c>
      <c r="J322" s="26" t="str">
        <f t="shared" si="18"/>
        <v/>
      </c>
      <c r="K322" s="252" t="str">
        <f>IF(B322="Printemps",_xlfn.DAYS(A322,' Elevage'!N$17),IF(B322="Eté",_xlfn.DAYS(A322,' Elevage'!N$18),IF(B322="Automne",_xlfn.DAYS(A322,' Elevage'!N$19),IF(B322="Hiver",_xlfn.DAYS(A322,' Elevage'!N$16),IF(B322="Stock",_xlfn.DAYS(A322,' Elevage'!N$12),"")))))</f>
        <v/>
      </c>
    </row>
    <row r="323" spans="1:11" x14ac:dyDescent="0.5">
      <c r="A323" s="280"/>
      <c r="B323" s="279"/>
      <c r="C323" s="279"/>
      <c r="D323" s="279"/>
      <c r="E323" s="279"/>
      <c r="F323" s="281"/>
      <c r="G323" s="281"/>
      <c r="H323" s="25" t="str">
        <f t="shared" si="16"/>
        <v/>
      </c>
      <c r="I323" s="25" t="str">
        <f t="shared" si="17"/>
        <v/>
      </c>
      <c r="J323" s="26" t="str">
        <f t="shared" si="18"/>
        <v/>
      </c>
      <c r="K323" s="252" t="str">
        <f>IF(B323="Printemps",_xlfn.DAYS(A323,' Elevage'!N$17),IF(B323="Eté",_xlfn.DAYS(A323,' Elevage'!N$18),IF(B323="Automne",_xlfn.DAYS(A323,' Elevage'!N$19),IF(B323="Hiver",_xlfn.DAYS(A323,' Elevage'!N$16),IF(B323="Stock",_xlfn.DAYS(A323,' Elevage'!N$12),"")))))</f>
        <v/>
      </c>
    </row>
    <row r="324" spans="1:11" x14ac:dyDescent="0.5">
      <c r="A324" s="280"/>
      <c r="B324" s="279"/>
      <c r="C324" s="279"/>
      <c r="D324" s="279"/>
      <c r="E324" s="279"/>
      <c r="F324" s="281"/>
      <c r="G324" s="281"/>
      <c r="H324" s="25" t="str">
        <f t="shared" si="16"/>
        <v/>
      </c>
      <c r="I324" s="25" t="str">
        <f t="shared" si="17"/>
        <v/>
      </c>
      <c r="J324" s="26" t="str">
        <f t="shared" si="18"/>
        <v/>
      </c>
      <c r="K324" s="252" t="str">
        <f>IF(B324="Printemps",_xlfn.DAYS(A324,' Elevage'!N$17),IF(B324="Eté",_xlfn.DAYS(A324,' Elevage'!N$18),IF(B324="Automne",_xlfn.DAYS(A324,' Elevage'!N$19),IF(B324="Hiver",_xlfn.DAYS(A324,' Elevage'!N$16),IF(B324="Stock",_xlfn.DAYS(A324,' Elevage'!N$12),"")))))</f>
        <v/>
      </c>
    </row>
    <row r="325" spans="1:11" x14ac:dyDescent="0.5">
      <c r="A325" s="280"/>
      <c r="B325" s="279"/>
      <c r="C325" s="279"/>
      <c r="D325" s="279"/>
      <c r="E325" s="279"/>
      <c r="F325" s="281"/>
      <c r="G325" s="281"/>
      <c r="H325" s="25" t="str">
        <f t="shared" si="16"/>
        <v/>
      </c>
      <c r="I325" s="25" t="str">
        <f t="shared" si="17"/>
        <v/>
      </c>
      <c r="J325" s="26" t="str">
        <f t="shared" si="18"/>
        <v/>
      </c>
      <c r="K325" s="252" t="str">
        <f>IF(B325="Printemps",_xlfn.DAYS(A325,' Elevage'!N$17),IF(B325="Eté",_xlfn.DAYS(A325,' Elevage'!N$18),IF(B325="Automne",_xlfn.DAYS(A325,' Elevage'!N$19),IF(B325="Hiver",_xlfn.DAYS(A325,' Elevage'!N$16),IF(B325="Stock",_xlfn.DAYS(A325,' Elevage'!N$12),"")))))</f>
        <v/>
      </c>
    </row>
    <row r="326" spans="1:11" x14ac:dyDescent="0.5">
      <c r="A326" s="280"/>
      <c r="B326" s="279"/>
      <c r="C326" s="279"/>
      <c r="D326" s="279"/>
      <c r="E326" s="279"/>
      <c r="F326" s="281"/>
      <c r="G326" s="281"/>
      <c r="H326" s="25" t="str">
        <f t="shared" si="16"/>
        <v/>
      </c>
      <c r="I326" s="25" t="str">
        <f t="shared" si="17"/>
        <v/>
      </c>
      <c r="J326" s="26" t="str">
        <f t="shared" si="18"/>
        <v/>
      </c>
      <c r="K326" s="252" t="str">
        <f>IF(B326="Printemps",_xlfn.DAYS(A326,' Elevage'!N$17),IF(B326="Eté",_xlfn.DAYS(A326,' Elevage'!N$18),IF(B326="Automne",_xlfn.DAYS(A326,' Elevage'!N$19),IF(B326="Hiver",_xlfn.DAYS(A326,' Elevage'!N$16),IF(B326="Stock",_xlfn.DAYS(A326,' Elevage'!N$12),"")))))</f>
        <v/>
      </c>
    </row>
    <row r="327" spans="1:11" x14ac:dyDescent="0.5">
      <c r="A327" s="280"/>
      <c r="B327" s="279"/>
      <c r="C327" s="279"/>
      <c r="D327" s="279"/>
      <c r="E327" s="279"/>
      <c r="F327" s="281"/>
      <c r="G327" s="281"/>
      <c r="H327" s="25" t="str">
        <f t="shared" si="16"/>
        <v/>
      </c>
      <c r="I327" s="25" t="str">
        <f t="shared" si="17"/>
        <v/>
      </c>
      <c r="J327" s="26" t="str">
        <f t="shared" si="18"/>
        <v/>
      </c>
      <c r="K327" s="252" t="str">
        <f>IF(B327="Printemps",_xlfn.DAYS(A327,' Elevage'!N$17),IF(B327="Eté",_xlfn.DAYS(A327,' Elevage'!N$18),IF(B327="Automne",_xlfn.DAYS(A327,' Elevage'!N$19),IF(B327="Hiver",_xlfn.DAYS(A327,' Elevage'!N$16),IF(B327="Stock",_xlfn.DAYS(A327,' Elevage'!N$12),"")))))</f>
        <v/>
      </c>
    </row>
    <row r="328" spans="1:11" x14ac:dyDescent="0.5">
      <c r="A328" s="280"/>
      <c r="B328" s="279"/>
      <c r="C328" s="279"/>
      <c r="D328" s="279"/>
      <c r="E328" s="279"/>
      <c r="F328" s="281"/>
      <c r="G328" s="281"/>
      <c r="H328" s="25" t="str">
        <f t="shared" ref="H328:H365" si="19">IF(F328=0,"",F328/E328)</f>
        <v/>
      </c>
      <c r="I328" s="25" t="str">
        <f t="shared" ref="I328:I365" si="20">IF(F328=0,"",G328/F328)</f>
        <v/>
      </c>
      <c r="J328" s="26" t="str">
        <f t="shared" ref="J328:J365" si="21">IF(E328=0,"",G328/E328)</f>
        <v/>
      </c>
      <c r="K328" s="252" t="str">
        <f>IF(B328="Printemps",_xlfn.DAYS(A328,' Elevage'!N$17),IF(B328="Eté",_xlfn.DAYS(A328,' Elevage'!N$18),IF(B328="Automne",_xlfn.DAYS(A328,' Elevage'!N$19),IF(B328="Hiver",_xlfn.DAYS(A328,' Elevage'!N$16),IF(B328="Stock",_xlfn.DAYS(A328,' Elevage'!N$12),"")))))</f>
        <v/>
      </c>
    </row>
    <row r="329" spans="1:11" x14ac:dyDescent="0.5">
      <c r="A329" s="280"/>
      <c r="B329" s="279"/>
      <c r="C329" s="279"/>
      <c r="D329" s="279"/>
      <c r="E329" s="279"/>
      <c r="F329" s="281"/>
      <c r="G329" s="281"/>
      <c r="H329" s="25" t="str">
        <f t="shared" si="19"/>
        <v/>
      </c>
      <c r="I329" s="25" t="str">
        <f t="shared" si="20"/>
        <v/>
      </c>
      <c r="J329" s="26" t="str">
        <f t="shared" si="21"/>
        <v/>
      </c>
      <c r="K329" s="252" t="str">
        <f>IF(B329="Printemps",_xlfn.DAYS(A329,' Elevage'!N$17),IF(B329="Eté",_xlfn.DAYS(A329,' Elevage'!N$18),IF(B329="Automne",_xlfn.DAYS(A329,' Elevage'!N$19),IF(B329="Hiver",_xlfn.DAYS(A329,' Elevage'!N$16),IF(B329="Stock",_xlfn.DAYS(A329,' Elevage'!N$12),"")))))</f>
        <v/>
      </c>
    </row>
    <row r="330" spans="1:11" x14ac:dyDescent="0.5">
      <c r="A330" s="280"/>
      <c r="B330" s="279"/>
      <c r="C330" s="279"/>
      <c r="D330" s="279"/>
      <c r="E330" s="279"/>
      <c r="F330" s="281"/>
      <c r="G330" s="281"/>
      <c r="H330" s="25" t="str">
        <f t="shared" si="19"/>
        <v/>
      </c>
      <c r="I330" s="25" t="str">
        <f t="shared" si="20"/>
        <v/>
      </c>
      <c r="J330" s="26" t="str">
        <f t="shared" si="21"/>
        <v/>
      </c>
      <c r="K330" s="252" t="str">
        <f>IF(B330="Printemps",_xlfn.DAYS(A330,' Elevage'!N$17),IF(B330="Eté",_xlfn.DAYS(A330,' Elevage'!N$18),IF(B330="Automne",_xlfn.DAYS(A330,' Elevage'!N$19),IF(B330="Hiver",_xlfn.DAYS(A330,' Elevage'!N$16),IF(B330="Stock",_xlfn.DAYS(A330,' Elevage'!N$12),"")))))</f>
        <v/>
      </c>
    </row>
    <row r="331" spans="1:11" x14ac:dyDescent="0.5">
      <c r="A331" s="280"/>
      <c r="B331" s="279"/>
      <c r="C331" s="279"/>
      <c r="D331" s="279"/>
      <c r="E331" s="279"/>
      <c r="F331" s="281"/>
      <c r="G331" s="281"/>
      <c r="H331" s="25" t="str">
        <f t="shared" si="19"/>
        <v/>
      </c>
      <c r="I331" s="25" t="str">
        <f t="shared" si="20"/>
        <v/>
      </c>
      <c r="J331" s="26" t="str">
        <f t="shared" si="21"/>
        <v/>
      </c>
      <c r="K331" s="252" t="str">
        <f>IF(B331="Printemps",_xlfn.DAYS(A331,' Elevage'!N$17),IF(B331="Eté",_xlfn.DAYS(A331,' Elevage'!N$18),IF(B331="Automne",_xlfn.DAYS(A331,' Elevage'!N$19),IF(B331="Hiver",_xlfn.DAYS(A331,' Elevage'!N$16),IF(B331="Stock",_xlfn.DAYS(A331,' Elevage'!N$12),"")))))</f>
        <v/>
      </c>
    </row>
    <row r="332" spans="1:11" x14ac:dyDescent="0.5">
      <c r="A332" s="280"/>
      <c r="B332" s="279"/>
      <c r="C332" s="279"/>
      <c r="D332" s="279"/>
      <c r="E332" s="279"/>
      <c r="F332" s="281"/>
      <c r="G332" s="281"/>
      <c r="H332" s="25" t="str">
        <f t="shared" si="19"/>
        <v/>
      </c>
      <c r="I332" s="25" t="str">
        <f t="shared" si="20"/>
        <v/>
      </c>
      <c r="J332" s="26" t="str">
        <f t="shared" si="21"/>
        <v/>
      </c>
      <c r="K332" s="252" t="str">
        <f>IF(B332="Printemps",_xlfn.DAYS(A332,' Elevage'!N$17),IF(B332="Eté",_xlfn.DAYS(A332,' Elevage'!N$18),IF(B332="Automne",_xlfn.DAYS(A332,' Elevage'!N$19),IF(B332="Hiver",_xlfn.DAYS(A332,' Elevage'!N$16),IF(B332="Stock",_xlfn.DAYS(A332,' Elevage'!N$12),"")))))</f>
        <v/>
      </c>
    </row>
    <row r="333" spans="1:11" x14ac:dyDescent="0.5">
      <c r="A333" s="280"/>
      <c r="B333" s="279"/>
      <c r="C333" s="279"/>
      <c r="D333" s="279"/>
      <c r="E333" s="279"/>
      <c r="F333" s="281"/>
      <c r="G333" s="281"/>
      <c r="H333" s="25" t="str">
        <f t="shared" si="19"/>
        <v/>
      </c>
      <c r="I333" s="25" t="str">
        <f t="shared" si="20"/>
        <v/>
      </c>
      <c r="J333" s="26" t="str">
        <f t="shared" si="21"/>
        <v/>
      </c>
      <c r="K333" s="252" t="str">
        <f>IF(B333="Printemps",_xlfn.DAYS(A333,' Elevage'!N$17),IF(B333="Eté",_xlfn.DAYS(A333,' Elevage'!N$18),IF(B333="Automne",_xlfn.DAYS(A333,' Elevage'!N$19),IF(B333="Hiver",_xlfn.DAYS(A333,' Elevage'!N$16),IF(B333="Stock",_xlfn.DAYS(A333,' Elevage'!N$12),"")))))</f>
        <v/>
      </c>
    </row>
    <row r="334" spans="1:11" x14ac:dyDescent="0.5">
      <c r="A334" s="280"/>
      <c r="B334" s="279"/>
      <c r="C334" s="279"/>
      <c r="D334" s="279"/>
      <c r="E334" s="279"/>
      <c r="F334" s="281"/>
      <c r="G334" s="281"/>
      <c r="H334" s="25" t="str">
        <f t="shared" si="19"/>
        <v/>
      </c>
      <c r="I334" s="25" t="str">
        <f t="shared" si="20"/>
        <v/>
      </c>
      <c r="J334" s="26" t="str">
        <f t="shared" si="21"/>
        <v/>
      </c>
      <c r="K334" s="252" t="str">
        <f>IF(B334="Printemps",_xlfn.DAYS(A334,' Elevage'!N$17),IF(B334="Eté",_xlfn.DAYS(A334,' Elevage'!N$18),IF(B334="Automne",_xlfn.DAYS(A334,' Elevage'!N$19),IF(B334="Hiver",_xlfn.DAYS(A334,' Elevage'!N$16),IF(B334="Stock",_xlfn.DAYS(A334,' Elevage'!N$12),"")))))</f>
        <v/>
      </c>
    </row>
    <row r="335" spans="1:11" x14ac:dyDescent="0.5">
      <c r="A335" s="280"/>
      <c r="B335" s="279"/>
      <c r="C335" s="279"/>
      <c r="D335" s="279"/>
      <c r="E335" s="279"/>
      <c r="F335" s="281"/>
      <c r="G335" s="281"/>
      <c r="H335" s="25" t="str">
        <f t="shared" si="19"/>
        <v/>
      </c>
      <c r="I335" s="25" t="str">
        <f t="shared" si="20"/>
        <v/>
      </c>
      <c r="J335" s="26" t="str">
        <f t="shared" si="21"/>
        <v/>
      </c>
      <c r="K335" s="252" t="str">
        <f>IF(B335="Printemps",_xlfn.DAYS(A335,' Elevage'!N$17),IF(B335="Eté",_xlfn.DAYS(A335,' Elevage'!N$18),IF(B335="Automne",_xlfn.DAYS(A335,' Elevage'!N$19),IF(B335="Hiver",_xlfn.DAYS(A335,' Elevage'!N$16),IF(B335="Stock",_xlfn.DAYS(A335,' Elevage'!N$12),"")))))</f>
        <v/>
      </c>
    </row>
    <row r="336" spans="1:11" x14ac:dyDescent="0.5">
      <c r="A336" s="280"/>
      <c r="B336" s="279"/>
      <c r="C336" s="279"/>
      <c r="D336" s="279"/>
      <c r="E336" s="279"/>
      <c r="F336" s="281"/>
      <c r="G336" s="281"/>
      <c r="H336" s="25" t="str">
        <f t="shared" si="19"/>
        <v/>
      </c>
      <c r="I336" s="25" t="str">
        <f t="shared" si="20"/>
        <v/>
      </c>
      <c r="J336" s="26" t="str">
        <f t="shared" si="21"/>
        <v/>
      </c>
      <c r="K336" s="252" t="str">
        <f>IF(B336="Printemps",_xlfn.DAYS(A336,' Elevage'!N$17),IF(B336="Eté",_xlfn.DAYS(A336,' Elevage'!N$18),IF(B336="Automne",_xlfn.DAYS(A336,' Elevage'!N$19),IF(B336="Hiver",_xlfn.DAYS(A336,' Elevage'!N$16),IF(B336="Stock",_xlfn.DAYS(A336,' Elevage'!N$12),"")))))</f>
        <v/>
      </c>
    </row>
    <row r="337" spans="1:11" x14ac:dyDescent="0.5">
      <c r="A337" s="280"/>
      <c r="B337" s="279"/>
      <c r="C337" s="279"/>
      <c r="D337" s="279"/>
      <c r="E337" s="279"/>
      <c r="F337" s="281"/>
      <c r="G337" s="281"/>
      <c r="H337" s="25" t="str">
        <f t="shared" si="19"/>
        <v/>
      </c>
      <c r="I337" s="25" t="str">
        <f t="shared" si="20"/>
        <v/>
      </c>
      <c r="J337" s="26" t="str">
        <f t="shared" si="21"/>
        <v/>
      </c>
      <c r="K337" s="252" t="str">
        <f>IF(B337="Printemps",_xlfn.DAYS(A337,' Elevage'!N$17),IF(B337="Eté",_xlfn.DAYS(A337,' Elevage'!N$18),IF(B337="Automne",_xlfn.DAYS(A337,' Elevage'!N$19),IF(B337="Hiver",_xlfn.DAYS(A337,' Elevage'!N$16),IF(B337="Stock",_xlfn.DAYS(A337,' Elevage'!N$12),"")))))</f>
        <v/>
      </c>
    </row>
    <row r="338" spans="1:11" x14ac:dyDescent="0.5">
      <c r="A338" s="280"/>
      <c r="B338" s="279"/>
      <c r="C338" s="279"/>
      <c r="D338" s="279"/>
      <c r="E338" s="279"/>
      <c r="F338" s="281"/>
      <c r="G338" s="281"/>
      <c r="H338" s="25" t="str">
        <f t="shared" si="19"/>
        <v/>
      </c>
      <c r="I338" s="25" t="str">
        <f t="shared" si="20"/>
        <v/>
      </c>
      <c r="J338" s="26" t="str">
        <f t="shared" si="21"/>
        <v/>
      </c>
      <c r="K338" s="252" t="str">
        <f>IF(B338="Printemps",_xlfn.DAYS(A338,' Elevage'!N$17),IF(B338="Eté",_xlfn.DAYS(A338,' Elevage'!N$18),IF(B338="Automne",_xlfn.DAYS(A338,' Elevage'!N$19),IF(B338="Hiver",_xlfn.DAYS(A338,' Elevage'!N$16),IF(B338="Stock",_xlfn.DAYS(A338,' Elevage'!N$12),"")))))</f>
        <v/>
      </c>
    </row>
    <row r="339" spans="1:11" x14ac:dyDescent="0.5">
      <c r="A339" s="280"/>
      <c r="B339" s="279"/>
      <c r="C339" s="279"/>
      <c r="D339" s="279"/>
      <c r="E339" s="279"/>
      <c r="F339" s="281"/>
      <c r="G339" s="281"/>
      <c r="H339" s="25" t="str">
        <f t="shared" si="19"/>
        <v/>
      </c>
      <c r="I339" s="25" t="str">
        <f t="shared" si="20"/>
        <v/>
      </c>
      <c r="J339" s="26" t="str">
        <f t="shared" si="21"/>
        <v/>
      </c>
      <c r="K339" s="252" t="str">
        <f>IF(B339="Printemps",_xlfn.DAYS(A339,' Elevage'!N$17),IF(B339="Eté",_xlfn.DAYS(A339,' Elevage'!N$18),IF(B339="Automne",_xlfn.DAYS(A339,' Elevage'!N$19),IF(B339="Hiver",_xlfn.DAYS(A339,' Elevage'!N$16),IF(B339="Stock",_xlfn.DAYS(A339,' Elevage'!N$12),"")))))</f>
        <v/>
      </c>
    </row>
    <row r="340" spans="1:11" x14ac:dyDescent="0.5">
      <c r="A340" s="280"/>
      <c r="B340" s="279"/>
      <c r="C340" s="279"/>
      <c r="D340" s="279"/>
      <c r="E340" s="279"/>
      <c r="F340" s="281"/>
      <c r="G340" s="281"/>
      <c r="H340" s="25" t="str">
        <f t="shared" si="19"/>
        <v/>
      </c>
      <c r="I340" s="25" t="str">
        <f t="shared" si="20"/>
        <v/>
      </c>
      <c r="J340" s="26" t="str">
        <f t="shared" si="21"/>
        <v/>
      </c>
      <c r="K340" s="252" t="str">
        <f>IF(B340="Printemps",_xlfn.DAYS(A340,' Elevage'!N$17),IF(B340="Eté",_xlfn.DAYS(A340,' Elevage'!N$18),IF(B340="Automne",_xlfn.DAYS(A340,' Elevage'!N$19),IF(B340="Hiver",_xlfn.DAYS(A340,' Elevage'!N$16),IF(B340="Stock",_xlfn.DAYS(A340,' Elevage'!N$12),"")))))</f>
        <v/>
      </c>
    </row>
    <row r="341" spans="1:11" x14ac:dyDescent="0.5">
      <c r="A341" s="280"/>
      <c r="B341" s="279"/>
      <c r="C341" s="279"/>
      <c r="D341" s="279"/>
      <c r="E341" s="279"/>
      <c r="F341" s="281"/>
      <c r="G341" s="281"/>
      <c r="H341" s="25" t="str">
        <f t="shared" si="19"/>
        <v/>
      </c>
      <c r="I341" s="25" t="str">
        <f t="shared" si="20"/>
        <v/>
      </c>
      <c r="J341" s="26" t="str">
        <f t="shared" si="21"/>
        <v/>
      </c>
      <c r="K341" s="252" t="str">
        <f>IF(B341="Printemps",_xlfn.DAYS(A341,' Elevage'!N$17),IF(B341="Eté",_xlfn.DAYS(A341,' Elevage'!N$18),IF(B341="Automne",_xlfn.DAYS(A341,' Elevage'!N$19),IF(B341="Hiver",_xlfn.DAYS(A341,' Elevage'!N$16),IF(B341="Stock",_xlfn.DAYS(A341,' Elevage'!N$12),"")))))</f>
        <v/>
      </c>
    </row>
    <row r="342" spans="1:11" x14ac:dyDescent="0.5">
      <c r="A342" s="280"/>
      <c r="B342" s="279"/>
      <c r="C342" s="279"/>
      <c r="D342" s="279"/>
      <c r="E342" s="279"/>
      <c r="F342" s="281"/>
      <c r="G342" s="281"/>
      <c r="H342" s="25" t="str">
        <f t="shared" si="19"/>
        <v/>
      </c>
      <c r="I342" s="25" t="str">
        <f t="shared" si="20"/>
        <v/>
      </c>
      <c r="J342" s="26" t="str">
        <f t="shared" si="21"/>
        <v/>
      </c>
      <c r="K342" s="252" t="str">
        <f>IF(B342="Printemps",_xlfn.DAYS(A342,' Elevage'!N$17),IF(B342="Eté",_xlfn.DAYS(A342,' Elevage'!N$18),IF(B342="Automne",_xlfn.DAYS(A342,' Elevage'!N$19),IF(B342="Hiver",_xlfn.DAYS(A342,' Elevage'!N$16),IF(B342="Stock",_xlfn.DAYS(A342,' Elevage'!N$12),"")))))</f>
        <v/>
      </c>
    </row>
    <row r="343" spans="1:11" x14ac:dyDescent="0.5">
      <c r="A343" s="280"/>
      <c r="B343" s="279"/>
      <c r="C343" s="279"/>
      <c r="D343" s="279"/>
      <c r="E343" s="279"/>
      <c r="F343" s="281"/>
      <c r="G343" s="281"/>
      <c r="H343" s="25" t="str">
        <f t="shared" si="19"/>
        <v/>
      </c>
      <c r="I343" s="25" t="str">
        <f t="shared" si="20"/>
        <v/>
      </c>
      <c r="J343" s="26" t="str">
        <f t="shared" si="21"/>
        <v/>
      </c>
      <c r="K343" s="252" t="str">
        <f>IF(B343="Printemps",_xlfn.DAYS(A343,' Elevage'!N$17),IF(B343="Eté",_xlfn.DAYS(A343,' Elevage'!N$18),IF(B343="Automne",_xlfn.DAYS(A343,' Elevage'!N$19),IF(B343="Hiver",_xlfn.DAYS(A343,' Elevage'!N$16),IF(B343="Stock",_xlfn.DAYS(A343,' Elevage'!N$12),"")))))</f>
        <v/>
      </c>
    </row>
    <row r="344" spans="1:11" x14ac:dyDescent="0.5">
      <c r="A344" s="280"/>
      <c r="B344" s="279"/>
      <c r="C344" s="279"/>
      <c r="D344" s="279"/>
      <c r="E344" s="279"/>
      <c r="F344" s="281"/>
      <c r="G344" s="281"/>
      <c r="H344" s="25" t="str">
        <f t="shared" si="19"/>
        <v/>
      </c>
      <c r="I344" s="25" t="str">
        <f t="shared" si="20"/>
        <v/>
      </c>
      <c r="J344" s="26" t="str">
        <f t="shared" si="21"/>
        <v/>
      </c>
      <c r="K344" s="252" t="str">
        <f>IF(B344="Printemps",_xlfn.DAYS(A344,' Elevage'!N$17),IF(B344="Eté",_xlfn.DAYS(A344,' Elevage'!N$18),IF(B344="Automne",_xlfn.DAYS(A344,' Elevage'!N$19),IF(B344="Hiver",_xlfn.DAYS(A344,' Elevage'!N$16),IF(B344="Stock",_xlfn.DAYS(A344,' Elevage'!N$12),"")))))</f>
        <v/>
      </c>
    </row>
    <row r="345" spans="1:11" x14ac:dyDescent="0.5">
      <c r="A345" s="280"/>
      <c r="B345" s="279"/>
      <c r="C345" s="279"/>
      <c r="D345" s="279"/>
      <c r="E345" s="279"/>
      <c r="F345" s="281"/>
      <c r="G345" s="281"/>
      <c r="H345" s="25" t="str">
        <f t="shared" si="19"/>
        <v/>
      </c>
      <c r="I345" s="25" t="str">
        <f t="shared" si="20"/>
        <v/>
      </c>
      <c r="J345" s="26" t="str">
        <f t="shared" si="21"/>
        <v/>
      </c>
      <c r="K345" s="252" t="str">
        <f>IF(B345="Printemps",_xlfn.DAYS(A345,' Elevage'!N$17),IF(B345="Eté",_xlfn.DAYS(A345,' Elevage'!N$18),IF(B345="Automne",_xlfn.DAYS(A345,' Elevage'!N$19),IF(B345="Hiver",_xlfn.DAYS(A345,' Elevage'!N$16),IF(B345="Stock",_xlfn.DAYS(A345,' Elevage'!N$12),"")))))</f>
        <v/>
      </c>
    </row>
    <row r="346" spans="1:11" x14ac:dyDescent="0.5">
      <c r="A346" s="280"/>
      <c r="B346" s="279"/>
      <c r="C346" s="279"/>
      <c r="D346" s="279"/>
      <c r="E346" s="279"/>
      <c r="F346" s="281"/>
      <c r="G346" s="281"/>
      <c r="H346" s="25" t="str">
        <f t="shared" si="19"/>
        <v/>
      </c>
      <c r="I346" s="25" t="str">
        <f t="shared" si="20"/>
        <v/>
      </c>
      <c r="J346" s="26" t="str">
        <f t="shared" si="21"/>
        <v/>
      </c>
      <c r="K346" s="252" t="str">
        <f>IF(B346="Printemps",_xlfn.DAYS(A346,' Elevage'!N$17),IF(B346="Eté",_xlfn.DAYS(A346,' Elevage'!N$18),IF(B346="Automne",_xlfn.DAYS(A346,' Elevage'!N$19),IF(B346="Hiver",_xlfn.DAYS(A346,' Elevage'!N$16),IF(B346="Stock",_xlfn.DAYS(A346,' Elevage'!N$12),"")))))</f>
        <v/>
      </c>
    </row>
    <row r="347" spans="1:11" x14ac:dyDescent="0.5">
      <c r="A347" s="280"/>
      <c r="B347" s="279"/>
      <c r="C347" s="279"/>
      <c r="D347" s="279"/>
      <c r="E347" s="279"/>
      <c r="F347" s="281"/>
      <c r="G347" s="281"/>
      <c r="H347" s="25" t="str">
        <f t="shared" si="19"/>
        <v/>
      </c>
      <c r="I347" s="25" t="str">
        <f t="shared" si="20"/>
        <v/>
      </c>
      <c r="J347" s="26" t="str">
        <f t="shared" si="21"/>
        <v/>
      </c>
      <c r="K347" s="252" t="str">
        <f>IF(B347="Printemps",_xlfn.DAYS(A347,' Elevage'!N$17),IF(B347="Eté",_xlfn.DAYS(A347,' Elevage'!N$18),IF(B347="Automne",_xlfn.DAYS(A347,' Elevage'!N$19),IF(B347="Hiver",_xlfn.DAYS(A347,' Elevage'!N$16),IF(B347="Stock",_xlfn.DAYS(A347,' Elevage'!N$12),"")))))</f>
        <v/>
      </c>
    </row>
    <row r="348" spans="1:11" x14ac:dyDescent="0.5">
      <c r="A348" s="280"/>
      <c r="B348" s="279"/>
      <c r="C348" s="279"/>
      <c r="D348" s="279"/>
      <c r="E348" s="279"/>
      <c r="F348" s="281"/>
      <c r="G348" s="281"/>
      <c r="H348" s="25" t="str">
        <f t="shared" si="19"/>
        <v/>
      </c>
      <c r="I348" s="25" t="str">
        <f t="shared" si="20"/>
        <v/>
      </c>
      <c r="J348" s="26" t="str">
        <f t="shared" si="21"/>
        <v/>
      </c>
      <c r="K348" s="252" t="str">
        <f>IF(B348="Printemps",_xlfn.DAYS(A348,' Elevage'!N$17),IF(B348="Eté",_xlfn.DAYS(A348,' Elevage'!N$18),IF(B348="Automne",_xlfn.DAYS(A348,' Elevage'!N$19),IF(B348="Hiver",_xlfn.DAYS(A348,' Elevage'!N$16),IF(B348="Stock",_xlfn.DAYS(A348,' Elevage'!N$12),"")))))</f>
        <v/>
      </c>
    </row>
    <row r="349" spans="1:11" x14ac:dyDescent="0.5">
      <c r="A349" s="280"/>
      <c r="B349" s="279"/>
      <c r="C349" s="279"/>
      <c r="D349" s="279"/>
      <c r="E349" s="279"/>
      <c r="F349" s="281"/>
      <c r="G349" s="281"/>
      <c r="H349" s="25" t="str">
        <f t="shared" si="19"/>
        <v/>
      </c>
      <c r="I349" s="25" t="str">
        <f t="shared" si="20"/>
        <v/>
      </c>
      <c r="J349" s="26" t="str">
        <f t="shared" si="21"/>
        <v/>
      </c>
      <c r="K349" s="252" t="str">
        <f>IF(B349="Printemps",_xlfn.DAYS(A349,' Elevage'!N$17),IF(B349="Eté",_xlfn.DAYS(A349,' Elevage'!N$18),IF(B349="Automne",_xlfn.DAYS(A349,' Elevage'!N$19),IF(B349="Hiver",_xlfn.DAYS(A349,' Elevage'!N$16),IF(B349="Stock",_xlfn.DAYS(A349,' Elevage'!N$12),"")))))</f>
        <v/>
      </c>
    </row>
    <row r="350" spans="1:11" x14ac:dyDescent="0.5">
      <c r="A350" s="280"/>
      <c r="B350" s="279"/>
      <c r="C350" s="279"/>
      <c r="D350" s="279"/>
      <c r="E350" s="279"/>
      <c r="F350" s="281"/>
      <c r="G350" s="281"/>
      <c r="H350" s="25" t="str">
        <f t="shared" si="19"/>
        <v/>
      </c>
      <c r="I350" s="25" t="str">
        <f t="shared" si="20"/>
        <v/>
      </c>
      <c r="J350" s="26" t="str">
        <f t="shared" si="21"/>
        <v/>
      </c>
      <c r="K350" s="252" t="str">
        <f>IF(B350="Printemps",_xlfn.DAYS(A350,' Elevage'!N$17),IF(B350="Eté",_xlfn.DAYS(A350,' Elevage'!N$18),IF(B350="Automne",_xlfn.DAYS(A350,' Elevage'!N$19),IF(B350="Hiver",_xlfn.DAYS(A350,' Elevage'!N$16),IF(B350="Stock",_xlfn.DAYS(A350,' Elevage'!N$12),"")))))</f>
        <v/>
      </c>
    </row>
    <row r="351" spans="1:11" x14ac:dyDescent="0.5">
      <c r="A351" s="280"/>
      <c r="B351" s="279"/>
      <c r="C351" s="279"/>
      <c r="D351" s="279"/>
      <c r="E351" s="279"/>
      <c r="F351" s="281"/>
      <c r="G351" s="281"/>
      <c r="H351" s="25" t="str">
        <f t="shared" si="19"/>
        <v/>
      </c>
      <c r="I351" s="25" t="str">
        <f t="shared" si="20"/>
        <v/>
      </c>
      <c r="J351" s="26" t="str">
        <f t="shared" si="21"/>
        <v/>
      </c>
      <c r="K351" s="252" t="str">
        <f>IF(B351="Printemps",_xlfn.DAYS(A351,' Elevage'!N$17),IF(B351="Eté",_xlfn.DAYS(A351,' Elevage'!N$18),IF(B351="Automne",_xlfn.DAYS(A351,' Elevage'!N$19),IF(B351="Hiver",_xlfn.DAYS(A351,' Elevage'!N$16),IF(B351="Stock",_xlfn.DAYS(A351,' Elevage'!N$12),"")))))</f>
        <v/>
      </c>
    </row>
    <row r="352" spans="1:11" x14ac:dyDescent="0.5">
      <c r="A352" s="280"/>
      <c r="B352" s="279"/>
      <c r="C352" s="279"/>
      <c r="D352" s="279"/>
      <c r="E352" s="279"/>
      <c r="F352" s="281"/>
      <c r="G352" s="281"/>
      <c r="H352" s="25" t="str">
        <f t="shared" si="19"/>
        <v/>
      </c>
      <c r="I352" s="25" t="str">
        <f t="shared" si="20"/>
        <v/>
      </c>
      <c r="J352" s="26" t="str">
        <f t="shared" si="21"/>
        <v/>
      </c>
      <c r="K352" s="252" t="str">
        <f>IF(B352="Printemps",_xlfn.DAYS(A352,' Elevage'!N$17),IF(B352="Eté",_xlfn.DAYS(A352,' Elevage'!N$18),IF(B352="Automne",_xlfn.DAYS(A352,' Elevage'!N$19),IF(B352="Hiver",_xlfn.DAYS(A352,' Elevage'!N$16),IF(B352="Stock",_xlfn.DAYS(A352,' Elevage'!N$12),"")))))</f>
        <v/>
      </c>
    </row>
    <row r="353" spans="1:11" x14ac:dyDescent="0.5">
      <c r="A353" s="280"/>
      <c r="B353" s="279"/>
      <c r="C353" s="279"/>
      <c r="D353" s="279"/>
      <c r="E353" s="279"/>
      <c r="F353" s="281"/>
      <c r="G353" s="281"/>
      <c r="H353" s="25" t="str">
        <f t="shared" si="19"/>
        <v/>
      </c>
      <c r="I353" s="25" t="str">
        <f t="shared" si="20"/>
        <v/>
      </c>
      <c r="J353" s="26" t="str">
        <f t="shared" si="21"/>
        <v/>
      </c>
      <c r="K353" s="252" t="str">
        <f>IF(B353="Printemps",_xlfn.DAYS(A353,' Elevage'!N$17),IF(B353="Eté",_xlfn.DAYS(A353,' Elevage'!N$18),IF(B353="Automne",_xlfn.DAYS(A353,' Elevage'!N$19),IF(B353="Hiver",_xlfn.DAYS(A353,' Elevage'!N$16),IF(B353="Stock",_xlfn.DAYS(A353,' Elevage'!N$12),"")))))</f>
        <v/>
      </c>
    </row>
    <row r="354" spans="1:11" x14ac:dyDescent="0.5">
      <c r="A354" s="280"/>
      <c r="B354" s="279"/>
      <c r="C354" s="279"/>
      <c r="D354" s="279"/>
      <c r="E354" s="279"/>
      <c r="F354" s="281"/>
      <c r="G354" s="281"/>
      <c r="H354" s="25" t="str">
        <f t="shared" si="19"/>
        <v/>
      </c>
      <c r="I354" s="25" t="str">
        <f t="shared" si="20"/>
        <v/>
      </c>
      <c r="J354" s="26" t="str">
        <f t="shared" si="21"/>
        <v/>
      </c>
      <c r="K354" s="252" t="str">
        <f>IF(B354="Printemps",_xlfn.DAYS(A354,' Elevage'!N$17),IF(B354="Eté",_xlfn.DAYS(A354,' Elevage'!N$18),IF(B354="Automne",_xlfn.DAYS(A354,' Elevage'!N$19),IF(B354="Hiver",_xlfn.DAYS(A354,' Elevage'!N$16),IF(B354="Stock",_xlfn.DAYS(A354,' Elevage'!N$12),"")))))</f>
        <v/>
      </c>
    </row>
    <row r="355" spans="1:11" x14ac:dyDescent="0.5">
      <c r="A355" s="280"/>
      <c r="B355" s="279"/>
      <c r="C355" s="279"/>
      <c r="D355" s="279"/>
      <c r="E355" s="279"/>
      <c r="F355" s="281"/>
      <c r="G355" s="281"/>
      <c r="H355" s="25" t="str">
        <f t="shared" si="19"/>
        <v/>
      </c>
      <c r="I355" s="25" t="str">
        <f t="shared" si="20"/>
        <v/>
      </c>
      <c r="J355" s="26" t="str">
        <f t="shared" si="21"/>
        <v/>
      </c>
      <c r="K355" s="252" t="str">
        <f>IF(B355="Printemps",_xlfn.DAYS(A355,' Elevage'!N$17),IF(B355="Eté",_xlfn.DAYS(A355,' Elevage'!N$18),IF(B355="Automne",_xlfn.DAYS(A355,' Elevage'!N$19),IF(B355="Hiver",_xlfn.DAYS(A355,' Elevage'!N$16),IF(B355="Stock",_xlfn.DAYS(A355,' Elevage'!N$12),"")))))</f>
        <v/>
      </c>
    </row>
    <row r="356" spans="1:11" x14ac:dyDescent="0.5">
      <c r="A356" s="280"/>
      <c r="B356" s="279"/>
      <c r="C356" s="279"/>
      <c r="D356" s="279"/>
      <c r="E356" s="279"/>
      <c r="F356" s="281"/>
      <c r="G356" s="281"/>
      <c r="H356" s="25" t="str">
        <f t="shared" si="19"/>
        <v/>
      </c>
      <c r="I356" s="25" t="str">
        <f t="shared" si="20"/>
        <v/>
      </c>
      <c r="J356" s="26" t="str">
        <f t="shared" si="21"/>
        <v/>
      </c>
      <c r="K356" s="252" t="str">
        <f>IF(B356="Printemps",_xlfn.DAYS(A356,' Elevage'!N$17),IF(B356="Eté",_xlfn.DAYS(A356,' Elevage'!N$18),IF(B356="Automne",_xlfn.DAYS(A356,' Elevage'!N$19),IF(B356="Hiver",_xlfn.DAYS(A356,' Elevage'!N$16),IF(B356="Stock",_xlfn.DAYS(A356,' Elevage'!N$12),"")))))</f>
        <v/>
      </c>
    </row>
    <row r="357" spans="1:11" x14ac:dyDescent="0.5">
      <c r="A357" s="280"/>
      <c r="B357" s="279"/>
      <c r="C357" s="279"/>
      <c r="D357" s="279"/>
      <c r="E357" s="279"/>
      <c r="F357" s="281"/>
      <c r="G357" s="281"/>
      <c r="H357" s="25" t="str">
        <f t="shared" si="19"/>
        <v/>
      </c>
      <c r="I357" s="25" t="str">
        <f t="shared" si="20"/>
        <v/>
      </c>
      <c r="J357" s="26" t="str">
        <f t="shared" si="21"/>
        <v/>
      </c>
      <c r="K357" s="252" t="str">
        <f>IF(B357="Printemps",_xlfn.DAYS(A357,' Elevage'!N$17),IF(B357="Eté",_xlfn.DAYS(A357,' Elevage'!N$18),IF(B357="Automne",_xlfn.DAYS(A357,' Elevage'!N$19),IF(B357="Hiver",_xlfn.DAYS(A357,' Elevage'!N$16),IF(B357="Stock",_xlfn.DAYS(A357,' Elevage'!N$12),"")))))</f>
        <v/>
      </c>
    </row>
    <row r="358" spans="1:11" x14ac:dyDescent="0.5">
      <c r="A358" s="280"/>
      <c r="B358" s="279"/>
      <c r="C358" s="279"/>
      <c r="D358" s="279"/>
      <c r="E358" s="279"/>
      <c r="F358" s="281"/>
      <c r="G358" s="281"/>
      <c r="H358" s="25" t="str">
        <f t="shared" si="19"/>
        <v/>
      </c>
      <c r="I358" s="25" t="str">
        <f t="shared" si="20"/>
        <v/>
      </c>
      <c r="J358" s="26" t="str">
        <f t="shared" si="21"/>
        <v/>
      </c>
      <c r="K358" s="252" t="str">
        <f>IF(B358="Printemps",_xlfn.DAYS(A358,' Elevage'!N$17),IF(B358="Eté",_xlfn.DAYS(A358,' Elevage'!N$18),IF(B358="Automne",_xlfn.DAYS(A358,' Elevage'!N$19),IF(B358="Hiver",_xlfn.DAYS(A358,' Elevage'!N$16),IF(B358="Stock",_xlfn.DAYS(A358,' Elevage'!N$12),"")))))</f>
        <v/>
      </c>
    </row>
    <row r="359" spans="1:11" x14ac:dyDescent="0.5">
      <c r="A359" s="280"/>
      <c r="B359" s="279"/>
      <c r="C359" s="279"/>
      <c r="D359" s="279"/>
      <c r="E359" s="279"/>
      <c r="F359" s="281"/>
      <c r="G359" s="281"/>
      <c r="H359" s="25" t="str">
        <f t="shared" si="19"/>
        <v/>
      </c>
      <c r="I359" s="25" t="str">
        <f t="shared" si="20"/>
        <v/>
      </c>
      <c r="J359" s="26" t="str">
        <f t="shared" si="21"/>
        <v/>
      </c>
      <c r="K359" s="252" t="str">
        <f>IF(B359="Printemps",_xlfn.DAYS(A359,' Elevage'!N$17),IF(B359="Eté",_xlfn.DAYS(A359,' Elevage'!N$18),IF(B359="Automne",_xlfn.DAYS(A359,' Elevage'!N$19),IF(B359="Hiver",_xlfn.DAYS(A359,' Elevage'!N$16),IF(B359="Stock",_xlfn.DAYS(A359,' Elevage'!N$12),"")))))</f>
        <v/>
      </c>
    </row>
    <row r="360" spans="1:11" x14ac:dyDescent="0.5">
      <c r="A360" s="280"/>
      <c r="B360" s="279"/>
      <c r="C360" s="279"/>
      <c r="D360" s="279"/>
      <c r="E360" s="279"/>
      <c r="F360" s="281"/>
      <c r="G360" s="281"/>
      <c r="H360" s="25" t="str">
        <f t="shared" si="19"/>
        <v/>
      </c>
      <c r="I360" s="25" t="str">
        <f t="shared" si="20"/>
        <v/>
      </c>
      <c r="J360" s="26" t="str">
        <f t="shared" si="21"/>
        <v/>
      </c>
      <c r="K360" s="252" t="str">
        <f>IF(B360="Printemps",_xlfn.DAYS(A360,' Elevage'!N$17),IF(B360="Eté",_xlfn.DAYS(A360,' Elevage'!N$18),IF(B360="Automne",_xlfn.DAYS(A360,' Elevage'!N$19),IF(B360="Hiver",_xlfn.DAYS(A360,' Elevage'!N$16),IF(B360="Stock",_xlfn.DAYS(A360,' Elevage'!N$12),"")))))</f>
        <v/>
      </c>
    </row>
    <row r="361" spans="1:11" x14ac:dyDescent="0.5">
      <c r="A361" s="280"/>
      <c r="B361" s="279"/>
      <c r="C361" s="279"/>
      <c r="D361" s="279"/>
      <c r="E361" s="279"/>
      <c r="F361" s="281"/>
      <c r="G361" s="281"/>
      <c r="H361" s="25" t="str">
        <f t="shared" si="19"/>
        <v/>
      </c>
      <c r="I361" s="25" t="str">
        <f t="shared" si="20"/>
        <v/>
      </c>
      <c r="J361" s="26" t="str">
        <f t="shared" si="21"/>
        <v/>
      </c>
      <c r="K361" s="252" t="str">
        <f>IF(B361="Printemps",_xlfn.DAYS(A361,' Elevage'!N$17),IF(B361="Eté",_xlfn.DAYS(A361,' Elevage'!N$18),IF(B361="Automne",_xlfn.DAYS(A361,' Elevage'!N$19),IF(B361="Hiver",_xlfn.DAYS(A361,' Elevage'!N$16),IF(B361="Stock",_xlfn.DAYS(A361,' Elevage'!N$12),"")))))</f>
        <v/>
      </c>
    </row>
    <row r="362" spans="1:11" x14ac:dyDescent="0.5">
      <c r="A362" s="280"/>
      <c r="B362" s="279"/>
      <c r="C362" s="279"/>
      <c r="D362" s="279"/>
      <c r="E362" s="279"/>
      <c r="F362" s="281"/>
      <c r="G362" s="281"/>
      <c r="H362" s="25" t="str">
        <f t="shared" si="19"/>
        <v/>
      </c>
      <c r="I362" s="25" t="str">
        <f t="shared" si="20"/>
        <v/>
      </c>
      <c r="J362" s="26" t="str">
        <f t="shared" si="21"/>
        <v/>
      </c>
      <c r="K362" s="252" t="str">
        <f>IF(B362="Printemps",_xlfn.DAYS(A362,' Elevage'!N$17),IF(B362="Eté",_xlfn.DAYS(A362,' Elevage'!N$18),IF(B362="Automne",_xlfn.DAYS(A362,' Elevage'!N$19),IF(B362="Hiver",_xlfn.DAYS(A362,' Elevage'!N$16),IF(B362="Stock",_xlfn.DAYS(A362,' Elevage'!N$12),"")))))</f>
        <v/>
      </c>
    </row>
    <row r="363" spans="1:11" x14ac:dyDescent="0.5">
      <c r="A363" s="280"/>
      <c r="B363" s="279" t="s">
        <v>146</v>
      </c>
      <c r="C363" s="279" t="s">
        <v>148</v>
      </c>
      <c r="D363" s="279" t="s">
        <v>900</v>
      </c>
      <c r="E363" s="279"/>
      <c r="F363" s="281"/>
      <c r="G363" s="281"/>
      <c r="H363" s="25" t="str">
        <f t="shared" si="19"/>
        <v/>
      </c>
      <c r="I363" s="25" t="str">
        <f t="shared" si="20"/>
        <v/>
      </c>
      <c r="J363" s="26" t="str">
        <f t="shared" si="21"/>
        <v/>
      </c>
      <c r="K363" s="252"/>
    </row>
    <row r="364" spans="1:11" x14ac:dyDescent="0.5">
      <c r="A364" s="280"/>
      <c r="B364" s="279" t="s">
        <v>103</v>
      </c>
      <c r="C364" s="279" t="s">
        <v>148</v>
      </c>
      <c r="D364" s="279" t="s">
        <v>900</v>
      </c>
      <c r="E364" s="279"/>
      <c r="F364" s="281"/>
      <c r="G364" s="281"/>
      <c r="H364" s="25" t="str">
        <f t="shared" si="19"/>
        <v/>
      </c>
      <c r="I364" s="25" t="str">
        <f t="shared" si="20"/>
        <v/>
      </c>
      <c r="J364" s="26" t="str">
        <f t="shared" si="21"/>
        <v/>
      </c>
      <c r="K364" s="252"/>
    </row>
    <row r="365" spans="1:11" x14ac:dyDescent="0.5">
      <c r="A365" s="280"/>
      <c r="B365" s="279" t="s">
        <v>104</v>
      </c>
      <c r="C365" s="279" t="s">
        <v>148</v>
      </c>
      <c r="D365" s="279" t="s">
        <v>900</v>
      </c>
      <c r="E365" s="279"/>
      <c r="F365" s="281"/>
      <c r="G365" s="281"/>
      <c r="H365" s="25" t="str">
        <f t="shared" si="19"/>
        <v/>
      </c>
      <c r="I365" s="25" t="str">
        <f t="shared" si="20"/>
        <v/>
      </c>
      <c r="J365" s="26" t="str">
        <f t="shared" si="21"/>
        <v/>
      </c>
      <c r="K365" s="252"/>
    </row>
    <row r="366" spans="1:11" x14ac:dyDescent="0.5">
      <c r="A366" s="280"/>
      <c r="B366" s="279" t="s">
        <v>105</v>
      </c>
      <c r="C366" s="279" t="s">
        <v>148</v>
      </c>
      <c r="D366" s="279" t="s">
        <v>900</v>
      </c>
      <c r="E366" s="279"/>
      <c r="F366" s="281"/>
      <c r="G366" s="281"/>
      <c r="H366" s="25"/>
      <c r="I366" s="25"/>
      <c r="J366" s="26"/>
      <c r="K366" s="252"/>
    </row>
    <row r="367" spans="1:11" x14ac:dyDescent="0.5">
      <c r="A367" s="280"/>
      <c r="B367" s="279" t="s">
        <v>106</v>
      </c>
      <c r="C367" s="279" t="s">
        <v>148</v>
      </c>
      <c r="D367" s="279" t="s">
        <v>900</v>
      </c>
      <c r="E367" s="279"/>
      <c r="F367" s="281"/>
      <c r="G367" s="281"/>
      <c r="H367" s="25"/>
      <c r="I367" s="25"/>
      <c r="J367" s="26"/>
      <c r="K367" s="252"/>
    </row>
    <row r="368" spans="1:11" x14ac:dyDescent="0.5">
      <c r="A368" s="280"/>
      <c r="B368" s="279" t="s">
        <v>139</v>
      </c>
      <c r="C368" s="279" t="s">
        <v>140</v>
      </c>
      <c r="D368" s="279" t="s">
        <v>141</v>
      </c>
      <c r="E368" s="279"/>
      <c r="F368" s="281"/>
      <c r="G368" s="281"/>
      <c r="H368" s="25"/>
      <c r="I368" s="25"/>
      <c r="J368" s="26"/>
      <c r="K368" s="252"/>
    </row>
    <row r="369" spans="1:11" x14ac:dyDescent="0.5">
      <c r="A369" s="440" t="s">
        <v>142</v>
      </c>
      <c r="B369" s="440" t="s">
        <v>106</v>
      </c>
      <c r="C369" s="440"/>
      <c r="D369" s="279" t="s">
        <v>132</v>
      </c>
      <c r="E369" s="441"/>
      <c r="F369" s="441"/>
      <c r="G369" s="441"/>
      <c r="H369" s="25" t="str">
        <f t="shared" ref="H369:H370" si="22">IF(F369=0,"",F369/E369)</f>
        <v/>
      </c>
      <c r="I369" s="25" t="str">
        <f t="shared" ref="I369:I424" si="23">IF(F369=0,"",G369/F369)</f>
        <v/>
      </c>
      <c r="J369" s="26" t="str">
        <f t="shared" ref="J369:J424" si="24">IF(E369=0,"",G369/E369)</f>
        <v/>
      </c>
      <c r="K369" s="252"/>
    </row>
    <row r="370" spans="1:11" x14ac:dyDescent="0.5">
      <c r="A370" s="440" t="s">
        <v>142</v>
      </c>
      <c r="B370" s="440" t="s">
        <v>106</v>
      </c>
      <c r="C370" s="440"/>
      <c r="D370" s="279" t="s">
        <v>129</v>
      </c>
      <c r="E370" s="441"/>
      <c r="F370" s="441"/>
      <c r="G370" s="441"/>
      <c r="H370" s="25" t="str">
        <f t="shared" si="22"/>
        <v/>
      </c>
      <c r="I370" s="25" t="str">
        <f t="shared" si="23"/>
        <v/>
      </c>
      <c r="J370" s="26" t="str">
        <f t="shared" si="24"/>
        <v/>
      </c>
      <c r="K370" s="252"/>
    </row>
    <row r="371" spans="1:11" x14ac:dyDescent="0.5">
      <c r="A371" s="440" t="s">
        <v>142</v>
      </c>
      <c r="B371" s="440" t="s">
        <v>106</v>
      </c>
      <c r="C371" s="440"/>
      <c r="D371" s="279" t="s">
        <v>130</v>
      </c>
      <c r="E371" s="441"/>
      <c r="F371" s="441"/>
      <c r="G371" s="441"/>
      <c r="H371" s="25" t="str">
        <f t="shared" ref="H371:H434" si="25">IF(F371=0,"",F371/E371)</f>
        <v/>
      </c>
      <c r="I371" s="25" t="str">
        <f t="shared" si="23"/>
        <v/>
      </c>
      <c r="J371" s="26" t="str">
        <f t="shared" si="24"/>
        <v/>
      </c>
      <c r="K371" s="252"/>
    </row>
    <row r="372" spans="1:11" x14ac:dyDescent="0.5">
      <c r="A372" s="440" t="s">
        <v>142</v>
      </c>
      <c r="B372" s="440" t="s">
        <v>106</v>
      </c>
      <c r="C372" s="440"/>
      <c r="D372" s="279" t="s">
        <v>131</v>
      </c>
      <c r="E372" s="441"/>
      <c r="F372" s="441"/>
      <c r="G372" s="441"/>
      <c r="H372" s="25" t="str">
        <f t="shared" si="25"/>
        <v/>
      </c>
      <c r="I372" s="25" t="str">
        <f t="shared" si="23"/>
        <v/>
      </c>
      <c r="J372" s="26" t="str">
        <f t="shared" si="24"/>
        <v/>
      </c>
      <c r="K372" s="252"/>
    </row>
    <row r="373" spans="1:11" x14ac:dyDescent="0.5">
      <c r="A373" s="440" t="s">
        <v>142</v>
      </c>
      <c r="B373" s="440" t="s">
        <v>106</v>
      </c>
      <c r="C373" s="440"/>
      <c r="D373" s="279" t="s">
        <v>133</v>
      </c>
      <c r="E373" s="441"/>
      <c r="F373" s="441"/>
      <c r="G373" s="441"/>
      <c r="H373" s="25" t="str">
        <f t="shared" si="25"/>
        <v/>
      </c>
      <c r="I373" s="25" t="str">
        <f t="shared" si="23"/>
        <v/>
      </c>
      <c r="J373" s="26" t="str">
        <f t="shared" si="24"/>
        <v/>
      </c>
      <c r="K373" s="252"/>
    </row>
    <row r="374" spans="1:11" x14ac:dyDescent="0.5">
      <c r="A374" s="440" t="s">
        <v>142</v>
      </c>
      <c r="B374" s="440" t="s">
        <v>106</v>
      </c>
      <c r="C374" s="440"/>
      <c r="D374" s="279" t="s">
        <v>134</v>
      </c>
      <c r="E374" s="441"/>
      <c r="F374" s="441"/>
      <c r="G374" s="441"/>
      <c r="H374" s="25" t="str">
        <f t="shared" si="25"/>
        <v/>
      </c>
      <c r="I374" s="25" t="str">
        <f t="shared" si="23"/>
        <v/>
      </c>
      <c r="J374" s="26" t="str">
        <f t="shared" si="24"/>
        <v/>
      </c>
      <c r="K374" s="252"/>
    </row>
    <row r="375" spans="1:11" x14ac:dyDescent="0.5">
      <c r="A375" s="440" t="s">
        <v>142</v>
      </c>
      <c r="B375" s="440" t="s">
        <v>106</v>
      </c>
      <c r="C375" s="440"/>
      <c r="D375" s="279" t="s">
        <v>135</v>
      </c>
      <c r="E375" s="441"/>
      <c r="F375" s="441"/>
      <c r="G375" s="441"/>
      <c r="H375" s="25" t="str">
        <f t="shared" si="25"/>
        <v/>
      </c>
      <c r="I375" s="25" t="str">
        <f t="shared" si="23"/>
        <v/>
      </c>
      <c r="J375" s="26" t="str">
        <f t="shared" si="24"/>
        <v/>
      </c>
      <c r="K375" s="252"/>
    </row>
    <row r="376" spans="1:11" x14ac:dyDescent="0.5">
      <c r="A376" s="440" t="s">
        <v>142</v>
      </c>
      <c r="B376" s="440" t="s">
        <v>106</v>
      </c>
      <c r="C376" s="440"/>
      <c r="D376" s="279" t="s">
        <v>136</v>
      </c>
      <c r="E376" s="441"/>
      <c r="F376" s="441"/>
      <c r="G376" s="441"/>
      <c r="H376" s="25" t="str">
        <f t="shared" si="25"/>
        <v/>
      </c>
      <c r="I376" s="25" t="str">
        <f t="shared" si="23"/>
        <v/>
      </c>
      <c r="J376" s="26" t="str">
        <f t="shared" si="24"/>
        <v/>
      </c>
      <c r="K376" s="252"/>
    </row>
    <row r="377" spans="1:11" x14ac:dyDescent="0.5">
      <c r="A377" s="440" t="s">
        <v>142</v>
      </c>
      <c r="B377" s="440" t="s">
        <v>106</v>
      </c>
      <c r="C377" s="440"/>
      <c r="D377" s="279" t="s">
        <v>143</v>
      </c>
      <c r="E377" s="441"/>
      <c r="F377" s="441"/>
      <c r="G377" s="441"/>
      <c r="H377" s="25" t="str">
        <f t="shared" si="25"/>
        <v/>
      </c>
      <c r="I377" s="25" t="str">
        <f t="shared" si="23"/>
        <v/>
      </c>
      <c r="J377" s="26" t="str">
        <f t="shared" si="24"/>
        <v/>
      </c>
      <c r="K377" s="252"/>
    </row>
    <row r="378" spans="1:11" x14ac:dyDescent="0.5">
      <c r="A378" s="440" t="s">
        <v>142</v>
      </c>
      <c r="B378" s="440" t="s">
        <v>105</v>
      </c>
      <c r="C378" s="440"/>
      <c r="D378" s="279" t="s">
        <v>143</v>
      </c>
      <c r="E378" s="441"/>
      <c r="F378" s="441"/>
      <c r="G378" s="441"/>
      <c r="H378" s="25" t="str">
        <f t="shared" si="25"/>
        <v/>
      </c>
      <c r="I378" s="25" t="str">
        <f t="shared" si="23"/>
        <v/>
      </c>
      <c r="J378" s="26" t="str">
        <f t="shared" si="24"/>
        <v/>
      </c>
      <c r="K378" s="252"/>
    </row>
    <row r="379" spans="1:11" x14ac:dyDescent="0.5">
      <c r="A379" s="440" t="s">
        <v>142</v>
      </c>
      <c r="B379" s="440" t="s">
        <v>106</v>
      </c>
      <c r="C379" s="440"/>
      <c r="D379" s="279" t="s">
        <v>144</v>
      </c>
      <c r="E379" s="441"/>
      <c r="F379" s="441"/>
      <c r="G379" s="441"/>
      <c r="H379" s="25" t="str">
        <f t="shared" si="25"/>
        <v/>
      </c>
      <c r="I379" s="25" t="str">
        <f t="shared" si="23"/>
        <v/>
      </c>
      <c r="J379" s="26" t="str">
        <f t="shared" si="24"/>
        <v/>
      </c>
      <c r="K379" s="252"/>
    </row>
    <row r="380" spans="1:11" x14ac:dyDescent="0.5">
      <c r="A380" s="440" t="s">
        <v>142</v>
      </c>
      <c r="B380" s="440" t="s">
        <v>106</v>
      </c>
      <c r="C380" s="440"/>
      <c r="D380" s="279" t="s">
        <v>137</v>
      </c>
      <c r="E380" s="441"/>
      <c r="F380" s="441"/>
      <c r="G380" s="441"/>
      <c r="H380" s="25" t="str">
        <f t="shared" si="25"/>
        <v/>
      </c>
      <c r="I380" s="25" t="str">
        <f t="shared" si="23"/>
        <v/>
      </c>
      <c r="J380" s="26" t="str">
        <f t="shared" si="24"/>
        <v/>
      </c>
      <c r="K380" s="252"/>
    </row>
    <row r="381" spans="1:11" x14ac:dyDescent="0.5">
      <c r="A381" s="440" t="s">
        <v>142</v>
      </c>
      <c r="B381" s="440" t="s">
        <v>106</v>
      </c>
      <c r="C381" s="440"/>
      <c r="D381" s="279" t="s">
        <v>138</v>
      </c>
      <c r="E381" s="441"/>
      <c r="F381" s="441"/>
      <c r="G381" s="441"/>
      <c r="H381" s="25" t="str">
        <f t="shared" si="25"/>
        <v/>
      </c>
      <c r="I381" s="25" t="str">
        <f t="shared" si="23"/>
        <v/>
      </c>
      <c r="J381" s="26" t="str">
        <f t="shared" si="24"/>
        <v/>
      </c>
      <c r="K381" s="252"/>
    </row>
    <row r="382" spans="1:11" x14ac:dyDescent="0.5">
      <c r="A382" s="440" t="s">
        <v>142</v>
      </c>
      <c r="B382" s="440" t="s">
        <v>106</v>
      </c>
      <c r="C382" s="440"/>
      <c r="D382" s="279" t="s">
        <v>141</v>
      </c>
      <c r="E382" s="441"/>
      <c r="F382" s="441"/>
      <c r="G382" s="441"/>
      <c r="H382" s="25" t="str">
        <f t="shared" si="25"/>
        <v/>
      </c>
      <c r="I382" s="25" t="str">
        <f t="shared" si="23"/>
        <v/>
      </c>
      <c r="J382" s="26" t="str">
        <f t="shared" si="24"/>
        <v/>
      </c>
      <c r="K382" s="252"/>
    </row>
    <row r="383" spans="1:11" x14ac:dyDescent="0.5">
      <c r="A383" s="440" t="s">
        <v>142</v>
      </c>
      <c r="B383" s="440" t="s">
        <v>106</v>
      </c>
      <c r="C383" s="440"/>
      <c r="D383" s="279" t="s">
        <v>145</v>
      </c>
      <c r="E383" s="441"/>
      <c r="F383" s="441"/>
      <c r="G383" s="441"/>
      <c r="H383" s="25" t="str">
        <f t="shared" si="25"/>
        <v/>
      </c>
      <c r="I383" s="25" t="str">
        <f t="shared" si="23"/>
        <v/>
      </c>
      <c r="J383" s="26" t="str">
        <f t="shared" si="24"/>
        <v/>
      </c>
      <c r="K383" s="252"/>
    </row>
    <row r="384" spans="1:11" x14ac:dyDescent="0.5">
      <c r="A384" s="440" t="s">
        <v>142</v>
      </c>
      <c r="B384" s="440" t="s">
        <v>146</v>
      </c>
      <c r="C384" s="440"/>
      <c r="D384" s="279" t="s">
        <v>132</v>
      </c>
      <c r="E384" s="441"/>
      <c r="F384" s="441"/>
      <c r="G384" s="441"/>
      <c r="H384" s="25" t="str">
        <f t="shared" si="25"/>
        <v/>
      </c>
      <c r="I384" s="25" t="str">
        <f t="shared" si="23"/>
        <v/>
      </c>
      <c r="J384" s="26" t="str">
        <f t="shared" si="24"/>
        <v/>
      </c>
      <c r="K384" s="252"/>
    </row>
    <row r="385" spans="1:11" x14ac:dyDescent="0.5">
      <c r="A385" s="440" t="s">
        <v>142</v>
      </c>
      <c r="B385" s="440" t="s">
        <v>146</v>
      </c>
      <c r="C385" s="440"/>
      <c r="D385" s="279" t="s">
        <v>129</v>
      </c>
      <c r="E385" s="441"/>
      <c r="F385" s="441"/>
      <c r="G385" s="441"/>
      <c r="H385" s="25" t="str">
        <f t="shared" si="25"/>
        <v/>
      </c>
      <c r="I385" s="25" t="str">
        <f t="shared" si="23"/>
        <v/>
      </c>
      <c r="J385" s="26" t="str">
        <f t="shared" si="24"/>
        <v/>
      </c>
      <c r="K385" s="252"/>
    </row>
    <row r="386" spans="1:11" x14ac:dyDescent="0.5">
      <c r="A386" s="440" t="s">
        <v>142</v>
      </c>
      <c r="B386" s="440" t="s">
        <v>146</v>
      </c>
      <c r="C386" s="440"/>
      <c r="D386" s="279" t="s">
        <v>130</v>
      </c>
      <c r="E386" s="441"/>
      <c r="F386" s="441"/>
      <c r="G386" s="441"/>
      <c r="H386" s="25" t="str">
        <f t="shared" si="25"/>
        <v/>
      </c>
      <c r="I386" s="25" t="str">
        <f t="shared" si="23"/>
        <v/>
      </c>
      <c r="J386" s="26" t="str">
        <f t="shared" si="24"/>
        <v/>
      </c>
      <c r="K386" s="252"/>
    </row>
    <row r="387" spans="1:11" x14ac:dyDescent="0.5">
      <c r="A387" s="440" t="s">
        <v>142</v>
      </c>
      <c r="B387" s="440" t="s">
        <v>146</v>
      </c>
      <c r="C387" s="440"/>
      <c r="D387" s="279" t="s">
        <v>131</v>
      </c>
      <c r="E387" s="441"/>
      <c r="F387" s="441"/>
      <c r="G387" s="441"/>
      <c r="H387" s="25" t="str">
        <f t="shared" si="25"/>
        <v/>
      </c>
      <c r="I387" s="25" t="str">
        <f t="shared" si="23"/>
        <v/>
      </c>
      <c r="J387" s="26" t="str">
        <f t="shared" si="24"/>
        <v/>
      </c>
      <c r="K387" s="252"/>
    </row>
    <row r="388" spans="1:11" x14ac:dyDescent="0.5">
      <c r="A388" s="440" t="s">
        <v>142</v>
      </c>
      <c r="B388" s="440" t="s">
        <v>146</v>
      </c>
      <c r="C388" s="440"/>
      <c r="D388" s="279" t="s">
        <v>133</v>
      </c>
      <c r="E388" s="441"/>
      <c r="F388" s="441"/>
      <c r="G388" s="441"/>
      <c r="H388" s="25" t="str">
        <f t="shared" si="25"/>
        <v/>
      </c>
      <c r="I388" s="25" t="str">
        <f t="shared" si="23"/>
        <v/>
      </c>
      <c r="J388" s="26" t="str">
        <f t="shared" si="24"/>
        <v/>
      </c>
      <c r="K388" s="252"/>
    </row>
    <row r="389" spans="1:11" x14ac:dyDescent="0.5">
      <c r="A389" s="440" t="s">
        <v>142</v>
      </c>
      <c r="B389" s="440" t="s">
        <v>146</v>
      </c>
      <c r="C389" s="440"/>
      <c r="D389" s="279" t="s">
        <v>134</v>
      </c>
      <c r="E389" s="441"/>
      <c r="F389" s="441"/>
      <c r="G389" s="441"/>
      <c r="H389" s="25" t="str">
        <f t="shared" si="25"/>
        <v/>
      </c>
      <c r="I389" s="25" t="str">
        <f t="shared" si="23"/>
        <v/>
      </c>
      <c r="J389" s="26" t="str">
        <f t="shared" si="24"/>
        <v/>
      </c>
      <c r="K389" s="252"/>
    </row>
    <row r="390" spans="1:11" x14ac:dyDescent="0.5">
      <c r="A390" s="440" t="s">
        <v>142</v>
      </c>
      <c r="B390" s="440" t="s">
        <v>146</v>
      </c>
      <c r="C390" s="440"/>
      <c r="D390" s="279" t="s">
        <v>135</v>
      </c>
      <c r="E390" s="441"/>
      <c r="F390" s="441"/>
      <c r="G390" s="441"/>
      <c r="H390" s="25" t="str">
        <f t="shared" si="25"/>
        <v/>
      </c>
      <c r="I390" s="25" t="str">
        <f t="shared" si="23"/>
        <v/>
      </c>
      <c r="J390" s="26" t="str">
        <f t="shared" si="24"/>
        <v/>
      </c>
      <c r="K390" s="252"/>
    </row>
    <row r="391" spans="1:11" x14ac:dyDescent="0.5">
      <c r="A391" s="440" t="s">
        <v>142</v>
      </c>
      <c r="B391" s="440" t="s">
        <v>146</v>
      </c>
      <c r="C391" s="440"/>
      <c r="D391" s="279" t="s">
        <v>136</v>
      </c>
      <c r="E391" s="441"/>
      <c r="F391" s="441"/>
      <c r="G391" s="441"/>
      <c r="H391" s="25" t="str">
        <f t="shared" si="25"/>
        <v/>
      </c>
      <c r="I391" s="25" t="str">
        <f t="shared" si="23"/>
        <v/>
      </c>
      <c r="J391" s="26" t="str">
        <f t="shared" si="24"/>
        <v/>
      </c>
      <c r="K391" s="252"/>
    </row>
    <row r="392" spans="1:11" x14ac:dyDescent="0.5">
      <c r="A392" s="440" t="s">
        <v>142</v>
      </c>
      <c r="B392" s="440" t="s">
        <v>146</v>
      </c>
      <c r="C392" s="440"/>
      <c r="D392" s="279" t="s">
        <v>143</v>
      </c>
      <c r="E392" s="441"/>
      <c r="F392" s="441"/>
      <c r="G392" s="441"/>
      <c r="H392" s="25" t="str">
        <f t="shared" si="25"/>
        <v/>
      </c>
      <c r="I392" s="25" t="str">
        <f t="shared" si="23"/>
        <v/>
      </c>
      <c r="J392" s="26" t="str">
        <f t="shared" si="24"/>
        <v/>
      </c>
      <c r="K392" s="252"/>
    </row>
    <row r="393" spans="1:11" x14ac:dyDescent="0.5">
      <c r="A393" s="440" t="s">
        <v>142</v>
      </c>
      <c r="B393" s="440" t="s">
        <v>146</v>
      </c>
      <c r="C393" s="440"/>
      <c r="D393" s="279" t="s">
        <v>143</v>
      </c>
      <c r="E393" s="441"/>
      <c r="F393" s="441"/>
      <c r="G393" s="441"/>
      <c r="H393" s="25" t="str">
        <f t="shared" si="25"/>
        <v/>
      </c>
      <c r="I393" s="25" t="str">
        <f t="shared" si="23"/>
        <v/>
      </c>
      <c r="J393" s="26" t="str">
        <f t="shared" si="24"/>
        <v/>
      </c>
      <c r="K393" s="252"/>
    </row>
    <row r="394" spans="1:11" x14ac:dyDescent="0.5">
      <c r="A394" s="440" t="s">
        <v>142</v>
      </c>
      <c r="B394" s="440" t="s">
        <v>146</v>
      </c>
      <c r="C394" s="440"/>
      <c r="D394" s="279" t="s">
        <v>144</v>
      </c>
      <c r="E394" s="441"/>
      <c r="F394" s="441"/>
      <c r="G394" s="441"/>
      <c r="H394" s="25" t="str">
        <f t="shared" si="25"/>
        <v/>
      </c>
      <c r="I394" s="25" t="str">
        <f t="shared" si="23"/>
        <v/>
      </c>
      <c r="J394" s="26" t="str">
        <f t="shared" si="24"/>
        <v/>
      </c>
      <c r="K394" s="252"/>
    </row>
    <row r="395" spans="1:11" x14ac:dyDescent="0.5">
      <c r="A395" s="440" t="s">
        <v>142</v>
      </c>
      <c r="B395" s="440" t="s">
        <v>146</v>
      </c>
      <c r="C395" s="440"/>
      <c r="D395" s="279" t="s">
        <v>137</v>
      </c>
      <c r="E395" s="441"/>
      <c r="F395" s="441"/>
      <c r="G395" s="441"/>
      <c r="H395" s="25" t="str">
        <f t="shared" si="25"/>
        <v/>
      </c>
      <c r="I395" s="25" t="str">
        <f t="shared" si="23"/>
        <v/>
      </c>
      <c r="J395" s="26" t="str">
        <f t="shared" si="24"/>
        <v/>
      </c>
      <c r="K395" s="252"/>
    </row>
    <row r="396" spans="1:11" x14ac:dyDescent="0.5">
      <c r="A396" s="440" t="s">
        <v>142</v>
      </c>
      <c r="B396" s="440" t="s">
        <v>146</v>
      </c>
      <c r="C396" s="440"/>
      <c r="D396" s="279" t="s">
        <v>138</v>
      </c>
      <c r="E396" s="441"/>
      <c r="F396" s="441"/>
      <c r="G396" s="441"/>
      <c r="H396" s="25" t="str">
        <f t="shared" si="25"/>
        <v/>
      </c>
      <c r="I396" s="25" t="str">
        <f t="shared" si="23"/>
        <v/>
      </c>
      <c r="J396" s="26" t="str">
        <f t="shared" si="24"/>
        <v/>
      </c>
      <c r="K396" s="252"/>
    </row>
    <row r="397" spans="1:11" x14ac:dyDescent="0.5">
      <c r="A397" s="440" t="s">
        <v>142</v>
      </c>
      <c r="B397" s="440" t="s">
        <v>146</v>
      </c>
      <c r="C397" s="440"/>
      <c r="D397" s="279" t="s">
        <v>141</v>
      </c>
      <c r="E397" s="441"/>
      <c r="F397" s="441"/>
      <c r="G397" s="441"/>
      <c r="H397" s="25" t="str">
        <f t="shared" si="25"/>
        <v/>
      </c>
      <c r="I397" s="25" t="str">
        <f t="shared" si="23"/>
        <v/>
      </c>
      <c r="J397" s="26" t="str">
        <f t="shared" si="24"/>
        <v/>
      </c>
      <c r="K397" s="252"/>
    </row>
    <row r="398" spans="1:11" x14ac:dyDescent="0.5">
      <c r="A398" s="440" t="s">
        <v>142</v>
      </c>
      <c r="B398" s="440" t="s">
        <v>105</v>
      </c>
      <c r="C398" s="440"/>
      <c r="D398" s="279" t="s">
        <v>145</v>
      </c>
      <c r="E398" s="441"/>
      <c r="F398" s="441"/>
      <c r="G398" s="441"/>
      <c r="H398" s="25" t="str">
        <f t="shared" si="25"/>
        <v/>
      </c>
      <c r="I398" s="25" t="str">
        <f t="shared" si="23"/>
        <v/>
      </c>
      <c r="J398" s="26" t="str">
        <f t="shared" si="24"/>
        <v/>
      </c>
      <c r="K398" s="252"/>
    </row>
    <row r="399" spans="1:11" x14ac:dyDescent="0.5">
      <c r="A399" s="440" t="s">
        <v>142</v>
      </c>
      <c r="B399" s="440" t="s">
        <v>103</v>
      </c>
      <c r="C399" s="440" t="s">
        <v>147</v>
      </c>
      <c r="D399" s="279" t="s">
        <v>132</v>
      </c>
      <c r="E399" s="441"/>
      <c r="F399" s="441"/>
      <c r="G399" s="441"/>
      <c r="H399" s="25" t="str">
        <f t="shared" si="25"/>
        <v/>
      </c>
      <c r="I399" s="25" t="str">
        <f t="shared" si="23"/>
        <v/>
      </c>
      <c r="J399" s="26" t="str">
        <f t="shared" si="24"/>
        <v/>
      </c>
      <c r="K399" s="252"/>
    </row>
    <row r="400" spans="1:11" x14ac:dyDescent="0.5">
      <c r="A400" s="440" t="s">
        <v>142</v>
      </c>
      <c r="B400" s="440" t="s">
        <v>103</v>
      </c>
      <c r="C400" s="440" t="s">
        <v>147</v>
      </c>
      <c r="D400" s="279" t="s">
        <v>129</v>
      </c>
      <c r="E400" s="441"/>
      <c r="F400" s="441"/>
      <c r="G400" s="441"/>
      <c r="H400" s="25" t="str">
        <f t="shared" si="25"/>
        <v/>
      </c>
      <c r="I400" s="25" t="str">
        <f t="shared" si="23"/>
        <v/>
      </c>
      <c r="J400" s="26" t="str">
        <f t="shared" si="24"/>
        <v/>
      </c>
      <c r="K400" s="252"/>
    </row>
    <row r="401" spans="1:11" x14ac:dyDescent="0.5">
      <c r="A401" s="440" t="s">
        <v>142</v>
      </c>
      <c r="B401" s="440" t="s">
        <v>103</v>
      </c>
      <c r="C401" s="440" t="s">
        <v>147</v>
      </c>
      <c r="D401" s="279" t="s">
        <v>130</v>
      </c>
      <c r="E401" s="441"/>
      <c r="F401" s="441"/>
      <c r="G401" s="441"/>
      <c r="H401" s="25" t="str">
        <f t="shared" si="25"/>
        <v/>
      </c>
      <c r="I401" s="25" t="str">
        <f t="shared" si="23"/>
        <v/>
      </c>
      <c r="J401" s="26" t="str">
        <f t="shared" si="24"/>
        <v/>
      </c>
      <c r="K401" s="252"/>
    </row>
    <row r="402" spans="1:11" x14ac:dyDescent="0.5">
      <c r="A402" s="440" t="s">
        <v>142</v>
      </c>
      <c r="B402" s="440" t="s">
        <v>103</v>
      </c>
      <c r="C402" s="440" t="s">
        <v>147</v>
      </c>
      <c r="D402" s="279" t="s">
        <v>131</v>
      </c>
      <c r="E402" s="441"/>
      <c r="F402" s="441"/>
      <c r="G402" s="441"/>
      <c r="H402" s="25" t="str">
        <f t="shared" si="25"/>
        <v/>
      </c>
      <c r="I402" s="25" t="str">
        <f t="shared" si="23"/>
        <v/>
      </c>
      <c r="J402" s="26" t="str">
        <f t="shared" si="24"/>
        <v/>
      </c>
      <c r="K402" s="252"/>
    </row>
    <row r="403" spans="1:11" x14ac:dyDescent="0.5">
      <c r="A403" s="440" t="s">
        <v>142</v>
      </c>
      <c r="B403" s="440" t="s">
        <v>103</v>
      </c>
      <c r="C403" s="440" t="s">
        <v>147</v>
      </c>
      <c r="D403" s="279" t="s">
        <v>133</v>
      </c>
      <c r="E403" s="441"/>
      <c r="F403" s="441"/>
      <c r="G403" s="441"/>
      <c r="H403" s="25" t="str">
        <f t="shared" si="25"/>
        <v/>
      </c>
      <c r="I403" s="25" t="str">
        <f t="shared" si="23"/>
        <v/>
      </c>
      <c r="J403" s="26" t="str">
        <f t="shared" si="24"/>
        <v/>
      </c>
      <c r="K403" s="252"/>
    </row>
    <row r="404" spans="1:11" x14ac:dyDescent="0.5">
      <c r="A404" s="440" t="s">
        <v>142</v>
      </c>
      <c r="B404" s="440" t="s">
        <v>103</v>
      </c>
      <c r="C404" s="440" t="s">
        <v>147</v>
      </c>
      <c r="D404" s="279" t="s">
        <v>134</v>
      </c>
      <c r="E404" s="441"/>
      <c r="F404" s="441"/>
      <c r="G404" s="441"/>
      <c r="H404" s="25" t="str">
        <f t="shared" si="25"/>
        <v/>
      </c>
      <c r="I404" s="25" t="str">
        <f t="shared" si="23"/>
        <v/>
      </c>
      <c r="J404" s="26" t="str">
        <f t="shared" si="24"/>
        <v/>
      </c>
      <c r="K404" s="252"/>
    </row>
    <row r="405" spans="1:11" x14ac:dyDescent="0.5">
      <c r="A405" s="440" t="s">
        <v>142</v>
      </c>
      <c r="B405" s="440" t="s">
        <v>103</v>
      </c>
      <c r="C405" s="440" t="s">
        <v>147</v>
      </c>
      <c r="D405" s="279" t="s">
        <v>135</v>
      </c>
      <c r="E405" s="441"/>
      <c r="F405" s="441"/>
      <c r="G405" s="441"/>
      <c r="H405" s="25" t="str">
        <f t="shared" si="25"/>
        <v/>
      </c>
      <c r="I405" s="25" t="str">
        <f t="shared" si="23"/>
        <v/>
      </c>
      <c r="J405" s="26" t="str">
        <f t="shared" si="24"/>
        <v/>
      </c>
      <c r="K405" s="252"/>
    </row>
    <row r="406" spans="1:11" x14ac:dyDescent="0.5">
      <c r="A406" s="440" t="s">
        <v>142</v>
      </c>
      <c r="B406" s="440" t="s">
        <v>103</v>
      </c>
      <c r="C406" s="440" t="s">
        <v>147</v>
      </c>
      <c r="D406" s="279" t="s">
        <v>136</v>
      </c>
      <c r="E406" s="441"/>
      <c r="F406" s="441"/>
      <c r="G406" s="441"/>
      <c r="H406" s="25" t="str">
        <f t="shared" si="25"/>
        <v/>
      </c>
      <c r="I406" s="25" t="str">
        <f t="shared" si="23"/>
        <v/>
      </c>
      <c r="J406" s="26" t="str">
        <f t="shared" si="24"/>
        <v/>
      </c>
      <c r="K406" s="252"/>
    </row>
    <row r="407" spans="1:11" x14ac:dyDescent="0.5">
      <c r="A407" s="440" t="s">
        <v>142</v>
      </c>
      <c r="B407" s="440" t="s">
        <v>103</v>
      </c>
      <c r="C407" s="440" t="s">
        <v>147</v>
      </c>
      <c r="D407" s="279" t="s">
        <v>143</v>
      </c>
      <c r="E407" s="441"/>
      <c r="F407" s="441"/>
      <c r="G407" s="441"/>
      <c r="H407" s="25" t="str">
        <f t="shared" si="25"/>
        <v/>
      </c>
      <c r="I407" s="25" t="str">
        <f t="shared" si="23"/>
        <v/>
      </c>
      <c r="J407" s="26" t="str">
        <f t="shared" si="24"/>
        <v/>
      </c>
      <c r="K407" s="252"/>
    </row>
    <row r="408" spans="1:11" x14ac:dyDescent="0.5">
      <c r="A408" s="440" t="s">
        <v>142</v>
      </c>
      <c r="B408" s="440" t="s">
        <v>103</v>
      </c>
      <c r="C408" s="440" t="s">
        <v>147</v>
      </c>
      <c r="D408" s="279" t="s">
        <v>143</v>
      </c>
      <c r="E408" s="441"/>
      <c r="F408" s="441"/>
      <c r="G408" s="441"/>
      <c r="H408" s="25" t="str">
        <f t="shared" si="25"/>
        <v/>
      </c>
      <c r="I408" s="25" t="str">
        <f t="shared" si="23"/>
        <v/>
      </c>
      <c r="J408" s="26" t="str">
        <f t="shared" si="24"/>
        <v/>
      </c>
      <c r="K408" s="252"/>
    </row>
    <row r="409" spans="1:11" x14ac:dyDescent="0.5">
      <c r="A409" s="440" t="s">
        <v>142</v>
      </c>
      <c r="B409" s="440" t="s">
        <v>105</v>
      </c>
      <c r="C409" s="440" t="s">
        <v>148</v>
      </c>
      <c r="D409" s="279" t="s">
        <v>144</v>
      </c>
      <c r="E409" s="441"/>
      <c r="F409" s="441"/>
      <c r="G409" s="441"/>
      <c r="H409" s="25" t="str">
        <f t="shared" si="25"/>
        <v/>
      </c>
      <c r="I409" s="25" t="str">
        <f t="shared" si="23"/>
        <v/>
      </c>
      <c r="J409" s="26" t="str">
        <f t="shared" si="24"/>
        <v/>
      </c>
      <c r="K409" s="252"/>
    </row>
    <row r="410" spans="1:11" x14ac:dyDescent="0.5">
      <c r="A410" s="440" t="s">
        <v>142</v>
      </c>
      <c r="B410" s="440" t="s">
        <v>103</v>
      </c>
      <c r="C410" s="440" t="s">
        <v>147</v>
      </c>
      <c r="D410" s="279" t="s">
        <v>137</v>
      </c>
      <c r="E410" s="441"/>
      <c r="F410" s="441"/>
      <c r="G410" s="441"/>
      <c r="H410" s="25" t="str">
        <f t="shared" si="25"/>
        <v/>
      </c>
      <c r="I410" s="25" t="str">
        <f t="shared" si="23"/>
        <v/>
      </c>
      <c r="J410" s="26" t="str">
        <f t="shared" si="24"/>
        <v/>
      </c>
      <c r="K410" s="252"/>
    </row>
    <row r="411" spans="1:11" x14ac:dyDescent="0.5">
      <c r="A411" s="440" t="s">
        <v>142</v>
      </c>
      <c r="B411" s="440" t="s">
        <v>103</v>
      </c>
      <c r="C411" s="440" t="s">
        <v>147</v>
      </c>
      <c r="D411" s="279" t="s">
        <v>138</v>
      </c>
      <c r="E411" s="441"/>
      <c r="F411" s="441"/>
      <c r="G411" s="441"/>
      <c r="H411" s="25" t="str">
        <f t="shared" si="25"/>
        <v/>
      </c>
      <c r="I411" s="25" t="str">
        <f t="shared" si="23"/>
        <v/>
      </c>
      <c r="J411" s="26" t="str">
        <f t="shared" si="24"/>
        <v/>
      </c>
      <c r="K411" s="252"/>
    </row>
    <row r="412" spans="1:11" x14ac:dyDescent="0.5">
      <c r="A412" s="440" t="s">
        <v>142</v>
      </c>
      <c r="B412" s="440" t="s">
        <v>103</v>
      </c>
      <c r="C412" s="440" t="s">
        <v>147</v>
      </c>
      <c r="D412" s="279" t="s">
        <v>141</v>
      </c>
      <c r="E412" s="441"/>
      <c r="F412" s="441"/>
      <c r="G412" s="441"/>
      <c r="H412" s="25" t="str">
        <f t="shared" si="25"/>
        <v/>
      </c>
      <c r="I412" s="25" t="str">
        <f t="shared" si="23"/>
        <v/>
      </c>
      <c r="J412" s="26" t="str">
        <f t="shared" si="24"/>
        <v/>
      </c>
      <c r="K412" s="252"/>
    </row>
    <row r="413" spans="1:11" x14ac:dyDescent="0.5">
      <c r="A413" s="440" t="s">
        <v>142</v>
      </c>
      <c r="B413" s="440" t="s">
        <v>103</v>
      </c>
      <c r="C413" s="440" t="s">
        <v>147</v>
      </c>
      <c r="D413" s="279" t="s">
        <v>145</v>
      </c>
      <c r="E413" s="441"/>
      <c r="F413" s="441"/>
      <c r="G413" s="441"/>
      <c r="H413" s="25" t="str">
        <f t="shared" si="25"/>
        <v/>
      </c>
      <c r="I413" s="25" t="str">
        <f t="shared" si="23"/>
        <v/>
      </c>
      <c r="J413" s="26" t="str">
        <f t="shared" si="24"/>
        <v/>
      </c>
      <c r="K413" s="252"/>
    </row>
    <row r="414" spans="1:11" x14ac:dyDescent="0.5">
      <c r="A414" s="440" t="s">
        <v>142</v>
      </c>
      <c r="B414" s="440" t="s">
        <v>104</v>
      </c>
      <c r="C414" s="440" t="s">
        <v>140</v>
      </c>
      <c r="D414" s="279" t="s">
        <v>132</v>
      </c>
      <c r="E414" s="441"/>
      <c r="F414" s="441"/>
      <c r="G414" s="441"/>
      <c r="H414" s="25" t="str">
        <f t="shared" si="25"/>
        <v/>
      </c>
      <c r="I414" s="25" t="str">
        <f t="shared" si="23"/>
        <v/>
      </c>
      <c r="J414" s="26" t="str">
        <f t="shared" si="24"/>
        <v/>
      </c>
      <c r="K414" s="252"/>
    </row>
    <row r="415" spans="1:11" x14ac:dyDescent="0.5">
      <c r="A415" s="440" t="s">
        <v>142</v>
      </c>
      <c r="B415" s="440" t="s">
        <v>104</v>
      </c>
      <c r="C415" s="440" t="s">
        <v>140</v>
      </c>
      <c r="D415" s="279" t="s">
        <v>129</v>
      </c>
      <c r="E415" s="441"/>
      <c r="F415" s="441"/>
      <c r="G415" s="441"/>
      <c r="H415" s="25" t="str">
        <f t="shared" si="25"/>
        <v/>
      </c>
      <c r="I415" s="25" t="str">
        <f t="shared" si="23"/>
        <v/>
      </c>
      <c r="J415" s="26" t="str">
        <f t="shared" si="24"/>
        <v/>
      </c>
      <c r="K415" s="252"/>
    </row>
    <row r="416" spans="1:11" x14ac:dyDescent="0.5">
      <c r="A416" s="440" t="s">
        <v>142</v>
      </c>
      <c r="B416" s="440" t="s">
        <v>104</v>
      </c>
      <c r="C416" s="440" t="s">
        <v>140</v>
      </c>
      <c r="D416" s="279" t="s">
        <v>130</v>
      </c>
      <c r="E416" s="441"/>
      <c r="F416" s="441"/>
      <c r="G416" s="441"/>
      <c r="H416" s="25" t="str">
        <f t="shared" si="25"/>
        <v/>
      </c>
      <c r="I416" s="25" t="str">
        <f t="shared" si="23"/>
        <v/>
      </c>
      <c r="J416" s="26" t="str">
        <f t="shared" si="24"/>
        <v/>
      </c>
      <c r="K416" s="252"/>
    </row>
    <row r="417" spans="1:11" x14ac:dyDescent="0.5">
      <c r="A417" s="440" t="s">
        <v>142</v>
      </c>
      <c r="B417" s="440" t="s">
        <v>104</v>
      </c>
      <c r="C417" s="440" t="s">
        <v>140</v>
      </c>
      <c r="D417" s="279" t="s">
        <v>131</v>
      </c>
      <c r="E417" s="441"/>
      <c r="F417" s="441"/>
      <c r="G417" s="441"/>
      <c r="H417" s="25" t="str">
        <f t="shared" si="25"/>
        <v/>
      </c>
      <c r="I417" s="25" t="str">
        <f t="shared" si="23"/>
        <v/>
      </c>
      <c r="J417" s="26" t="str">
        <f t="shared" si="24"/>
        <v/>
      </c>
      <c r="K417" s="252"/>
    </row>
    <row r="418" spans="1:11" x14ac:dyDescent="0.5">
      <c r="A418" s="440" t="s">
        <v>142</v>
      </c>
      <c r="B418" s="440" t="s">
        <v>104</v>
      </c>
      <c r="C418" s="440" t="s">
        <v>140</v>
      </c>
      <c r="D418" s="279" t="s">
        <v>133</v>
      </c>
      <c r="E418" s="441"/>
      <c r="F418" s="441"/>
      <c r="G418" s="441"/>
      <c r="H418" s="25" t="str">
        <f t="shared" si="25"/>
        <v/>
      </c>
      <c r="I418" s="25" t="str">
        <f t="shared" si="23"/>
        <v/>
      </c>
      <c r="J418" s="26" t="str">
        <f t="shared" si="24"/>
        <v/>
      </c>
      <c r="K418" s="252"/>
    </row>
    <row r="419" spans="1:11" x14ac:dyDescent="0.5">
      <c r="A419" s="440" t="s">
        <v>142</v>
      </c>
      <c r="B419" s="440" t="s">
        <v>104</v>
      </c>
      <c r="C419" s="440" t="s">
        <v>140</v>
      </c>
      <c r="D419" s="279" t="s">
        <v>134</v>
      </c>
      <c r="E419" s="441"/>
      <c r="F419" s="441"/>
      <c r="G419" s="441"/>
      <c r="H419" s="25" t="str">
        <f t="shared" si="25"/>
        <v/>
      </c>
      <c r="I419" s="25" t="str">
        <f t="shared" si="23"/>
        <v/>
      </c>
      <c r="J419" s="26" t="str">
        <f t="shared" si="24"/>
        <v/>
      </c>
      <c r="K419" s="252"/>
    </row>
    <row r="420" spans="1:11" x14ac:dyDescent="0.5">
      <c r="A420" s="440" t="s">
        <v>142</v>
      </c>
      <c r="B420" s="440" t="s">
        <v>104</v>
      </c>
      <c r="C420" s="440" t="s">
        <v>140</v>
      </c>
      <c r="D420" s="279" t="s">
        <v>135</v>
      </c>
      <c r="E420" s="441"/>
      <c r="F420" s="441"/>
      <c r="G420" s="441"/>
      <c r="H420" s="25" t="str">
        <f t="shared" si="25"/>
        <v/>
      </c>
      <c r="I420" s="25" t="str">
        <f t="shared" si="23"/>
        <v/>
      </c>
      <c r="J420" s="26" t="str">
        <f t="shared" si="24"/>
        <v/>
      </c>
      <c r="K420" s="252"/>
    </row>
    <row r="421" spans="1:11" x14ac:dyDescent="0.5">
      <c r="A421" s="440" t="s">
        <v>142</v>
      </c>
      <c r="B421" s="440" t="s">
        <v>104</v>
      </c>
      <c r="C421" s="440" t="s">
        <v>140</v>
      </c>
      <c r="D421" s="279" t="s">
        <v>136</v>
      </c>
      <c r="E421" s="441"/>
      <c r="F421" s="441"/>
      <c r="G421" s="441"/>
      <c r="H421" s="25" t="str">
        <f t="shared" si="25"/>
        <v/>
      </c>
      <c r="I421" s="25" t="str">
        <f t="shared" si="23"/>
        <v/>
      </c>
      <c r="J421" s="26" t="str">
        <f t="shared" si="24"/>
        <v/>
      </c>
      <c r="K421" s="252"/>
    </row>
    <row r="422" spans="1:11" x14ac:dyDescent="0.5">
      <c r="A422" s="440" t="s">
        <v>142</v>
      </c>
      <c r="B422" s="440" t="s">
        <v>104</v>
      </c>
      <c r="C422" s="440" t="s">
        <v>140</v>
      </c>
      <c r="D422" s="279" t="s">
        <v>143</v>
      </c>
      <c r="E422" s="441"/>
      <c r="F422" s="441"/>
      <c r="G422" s="441"/>
      <c r="H422" s="25" t="str">
        <f t="shared" si="25"/>
        <v/>
      </c>
      <c r="I422" s="25" t="str">
        <f t="shared" si="23"/>
        <v/>
      </c>
      <c r="J422" s="26" t="str">
        <f t="shared" si="24"/>
        <v/>
      </c>
      <c r="K422" s="252"/>
    </row>
    <row r="423" spans="1:11" x14ac:dyDescent="0.5">
      <c r="A423" s="440" t="s">
        <v>142</v>
      </c>
      <c r="B423" s="440" t="s">
        <v>104</v>
      </c>
      <c r="C423" s="440" t="s">
        <v>140</v>
      </c>
      <c r="D423" s="279" t="s">
        <v>143</v>
      </c>
      <c r="E423" s="441"/>
      <c r="F423" s="441"/>
      <c r="G423" s="441"/>
      <c r="H423" s="25" t="str">
        <f t="shared" si="25"/>
        <v/>
      </c>
      <c r="I423" s="25" t="str">
        <f t="shared" si="23"/>
        <v/>
      </c>
      <c r="J423" s="26" t="str">
        <f t="shared" si="24"/>
        <v/>
      </c>
      <c r="K423" s="252"/>
    </row>
    <row r="424" spans="1:11" x14ac:dyDescent="0.5">
      <c r="A424" s="440" t="s">
        <v>142</v>
      </c>
      <c r="B424" s="440" t="s">
        <v>104</v>
      </c>
      <c r="C424" s="440" t="s">
        <v>140</v>
      </c>
      <c r="D424" s="279" t="s">
        <v>144</v>
      </c>
      <c r="E424" s="441"/>
      <c r="F424" s="441"/>
      <c r="G424" s="441"/>
      <c r="H424" s="25" t="str">
        <f t="shared" si="25"/>
        <v/>
      </c>
      <c r="I424" s="25" t="str">
        <f t="shared" si="23"/>
        <v/>
      </c>
      <c r="J424" s="26" t="str">
        <f t="shared" si="24"/>
        <v/>
      </c>
      <c r="K424" s="252"/>
    </row>
    <row r="425" spans="1:11" x14ac:dyDescent="0.5">
      <c r="A425" s="440" t="s">
        <v>142</v>
      </c>
      <c r="B425" s="440" t="s">
        <v>105</v>
      </c>
      <c r="C425" s="440" t="s">
        <v>148</v>
      </c>
      <c r="D425" s="279" t="s">
        <v>137</v>
      </c>
      <c r="E425" s="441"/>
      <c r="F425" s="441"/>
      <c r="G425" s="441"/>
      <c r="H425" s="25" t="str">
        <f t="shared" si="25"/>
        <v/>
      </c>
      <c r="I425" s="25" t="str">
        <f t="shared" ref="I425:I444" si="26">IF(F425=0,"",G425/F425)</f>
        <v/>
      </c>
      <c r="J425" s="26" t="str">
        <f t="shared" ref="J425:J444" si="27">IF(E425=0,"",G425/E425)</f>
        <v/>
      </c>
      <c r="K425" s="252"/>
    </row>
    <row r="426" spans="1:11" x14ac:dyDescent="0.5">
      <c r="A426" s="440" t="s">
        <v>142</v>
      </c>
      <c r="B426" s="440" t="s">
        <v>104</v>
      </c>
      <c r="C426" s="440" t="s">
        <v>140</v>
      </c>
      <c r="D426" s="279" t="s">
        <v>138</v>
      </c>
      <c r="E426" s="441"/>
      <c r="F426" s="441"/>
      <c r="G426" s="441"/>
      <c r="H426" s="25" t="str">
        <f t="shared" si="25"/>
        <v/>
      </c>
      <c r="I426" s="25" t="str">
        <f t="shared" si="26"/>
        <v/>
      </c>
      <c r="J426" s="26" t="str">
        <f t="shared" si="27"/>
        <v/>
      </c>
      <c r="K426" s="252"/>
    </row>
    <row r="427" spans="1:11" x14ac:dyDescent="0.5">
      <c r="A427" s="440" t="s">
        <v>142</v>
      </c>
      <c r="B427" s="440" t="s">
        <v>104</v>
      </c>
      <c r="C427" s="440" t="s">
        <v>140</v>
      </c>
      <c r="D427" s="279" t="s">
        <v>141</v>
      </c>
      <c r="E427" s="441"/>
      <c r="F427" s="441"/>
      <c r="G427" s="441"/>
      <c r="H427" s="25" t="str">
        <f t="shared" si="25"/>
        <v/>
      </c>
      <c r="I427" s="25" t="str">
        <f t="shared" si="26"/>
        <v/>
      </c>
      <c r="J427" s="26" t="str">
        <f t="shared" si="27"/>
        <v/>
      </c>
      <c r="K427" s="252"/>
    </row>
    <row r="428" spans="1:11" x14ac:dyDescent="0.5">
      <c r="A428" s="440" t="s">
        <v>142</v>
      </c>
      <c r="B428" s="440" t="s">
        <v>104</v>
      </c>
      <c r="C428" s="440" t="s">
        <v>140</v>
      </c>
      <c r="D428" s="279" t="s">
        <v>145</v>
      </c>
      <c r="E428" s="441"/>
      <c r="F428" s="441"/>
      <c r="G428" s="441"/>
      <c r="H428" s="25" t="str">
        <f t="shared" si="25"/>
        <v/>
      </c>
      <c r="I428" s="25" t="str">
        <f t="shared" si="26"/>
        <v/>
      </c>
      <c r="J428" s="26" t="str">
        <f t="shared" si="27"/>
        <v/>
      </c>
      <c r="K428" s="252"/>
    </row>
    <row r="429" spans="1:11" x14ac:dyDescent="0.5">
      <c r="A429" s="440" t="s">
        <v>142</v>
      </c>
      <c r="B429" s="440" t="s">
        <v>105</v>
      </c>
      <c r="C429" s="440" t="s">
        <v>148</v>
      </c>
      <c r="D429" s="279" t="s">
        <v>132</v>
      </c>
      <c r="E429" s="441"/>
      <c r="F429" s="441"/>
      <c r="G429" s="441"/>
      <c r="H429" s="25" t="str">
        <f t="shared" si="25"/>
        <v/>
      </c>
      <c r="I429" s="25" t="str">
        <f t="shared" si="26"/>
        <v/>
      </c>
      <c r="J429" s="26" t="str">
        <f t="shared" si="27"/>
        <v/>
      </c>
      <c r="K429" s="252"/>
    </row>
    <row r="430" spans="1:11" x14ac:dyDescent="0.5">
      <c r="A430" s="440" t="s">
        <v>142</v>
      </c>
      <c r="B430" s="440" t="s">
        <v>105</v>
      </c>
      <c r="C430" s="440" t="s">
        <v>148</v>
      </c>
      <c r="D430" s="279" t="s">
        <v>129</v>
      </c>
      <c r="E430" s="441"/>
      <c r="F430" s="441"/>
      <c r="G430" s="441"/>
      <c r="H430" s="25" t="str">
        <f t="shared" si="25"/>
        <v/>
      </c>
      <c r="I430" s="25" t="str">
        <f t="shared" si="26"/>
        <v/>
      </c>
      <c r="J430" s="26" t="str">
        <f t="shared" si="27"/>
        <v/>
      </c>
      <c r="K430" s="252"/>
    </row>
    <row r="431" spans="1:11" x14ac:dyDescent="0.5">
      <c r="A431" s="440" t="s">
        <v>142</v>
      </c>
      <c r="B431" s="440" t="s">
        <v>105</v>
      </c>
      <c r="C431" s="440" t="s">
        <v>148</v>
      </c>
      <c r="D431" s="279" t="s">
        <v>130</v>
      </c>
      <c r="E431" s="441"/>
      <c r="F431" s="441"/>
      <c r="G431" s="441"/>
      <c r="H431" s="25" t="str">
        <f t="shared" si="25"/>
        <v/>
      </c>
      <c r="I431" s="25" t="str">
        <f t="shared" si="26"/>
        <v/>
      </c>
      <c r="J431" s="26" t="str">
        <f t="shared" si="27"/>
        <v/>
      </c>
      <c r="K431" s="252"/>
    </row>
    <row r="432" spans="1:11" x14ac:dyDescent="0.5">
      <c r="A432" s="440" t="s">
        <v>142</v>
      </c>
      <c r="B432" s="440" t="s">
        <v>105</v>
      </c>
      <c r="C432" s="440" t="s">
        <v>148</v>
      </c>
      <c r="D432" s="279" t="s">
        <v>131</v>
      </c>
      <c r="E432" s="441"/>
      <c r="F432" s="441"/>
      <c r="G432" s="441"/>
      <c r="H432" s="25" t="str">
        <f t="shared" si="25"/>
        <v/>
      </c>
      <c r="I432" s="25" t="str">
        <f t="shared" si="26"/>
        <v/>
      </c>
      <c r="J432" s="26" t="str">
        <f t="shared" si="27"/>
        <v/>
      </c>
      <c r="K432" s="252"/>
    </row>
    <row r="433" spans="1:11" x14ac:dyDescent="0.5">
      <c r="A433" s="440" t="s">
        <v>142</v>
      </c>
      <c r="B433" s="440" t="s">
        <v>105</v>
      </c>
      <c r="C433" s="440" t="s">
        <v>148</v>
      </c>
      <c r="D433" s="279" t="s">
        <v>133</v>
      </c>
      <c r="E433" s="441"/>
      <c r="F433" s="441"/>
      <c r="G433" s="441"/>
      <c r="H433" s="25" t="str">
        <f t="shared" si="25"/>
        <v/>
      </c>
      <c r="I433" s="25" t="str">
        <f t="shared" si="26"/>
        <v/>
      </c>
      <c r="J433" s="26" t="str">
        <f t="shared" si="27"/>
        <v/>
      </c>
      <c r="K433" s="252"/>
    </row>
    <row r="434" spans="1:11" x14ac:dyDescent="0.5">
      <c r="A434" s="440" t="s">
        <v>142</v>
      </c>
      <c r="B434" s="440" t="s">
        <v>105</v>
      </c>
      <c r="C434" s="440" t="s">
        <v>148</v>
      </c>
      <c r="D434" s="279" t="s">
        <v>134</v>
      </c>
      <c r="E434" s="441"/>
      <c r="F434" s="441"/>
      <c r="G434" s="441"/>
      <c r="H434" s="25" t="str">
        <f t="shared" si="25"/>
        <v/>
      </c>
      <c r="I434" s="25" t="str">
        <f t="shared" si="26"/>
        <v/>
      </c>
      <c r="J434" s="26" t="str">
        <f t="shared" si="27"/>
        <v/>
      </c>
      <c r="K434" s="252"/>
    </row>
    <row r="435" spans="1:11" x14ac:dyDescent="0.5">
      <c r="A435" s="440" t="s">
        <v>142</v>
      </c>
      <c r="B435" s="440" t="s">
        <v>105</v>
      </c>
      <c r="C435" s="440" t="s">
        <v>148</v>
      </c>
      <c r="D435" s="279" t="s">
        <v>135</v>
      </c>
      <c r="E435" s="441"/>
      <c r="F435" s="441"/>
      <c r="G435" s="441"/>
      <c r="H435" s="25" t="str">
        <f t="shared" ref="H435:H444" si="28">IF(F435=0,"",F435/E435)</f>
        <v/>
      </c>
      <c r="I435" s="25" t="str">
        <f t="shared" si="26"/>
        <v/>
      </c>
      <c r="J435" s="26" t="str">
        <f t="shared" si="27"/>
        <v/>
      </c>
      <c r="K435" s="252"/>
    </row>
    <row r="436" spans="1:11" x14ac:dyDescent="0.5">
      <c r="A436" s="440" t="s">
        <v>142</v>
      </c>
      <c r="B436" s="440" t="s">
        <v>105</v>
      </c>
      <c r="C436" s="440" t="s">
        <v>148</v>
      </c>
      <c r="D436" s="279" t="s">
        <v>136</v>
      </c>
      <c r="E436" s="441"/>
      <c r="F436" s="441"/>
      <c r="G436" s="441"/>
      <c r="H436" s="25" t="str">
        <f t="shared" si="28"/>
        <v/>
      </c>
      <c r="I436" s="25" t="str">
        <f t="shared" si="26"/>
        <v/>
      </c>
      <c r="J436" s="26" t="str">
        <f t="shared" si="27"/>
        <v/>
      </c>
      <c r="K436" s="252"/>
    </row>
    <row r="437" spans="1:11" x14ac:dyDescent="0.5">
      <c r="A437" s="440" t="s">
        <v>142</v>
      </c>
      <c r="B437" s="440" t="s">
        <v>105</v>
      </c>
      <c r="C437" s="440" t="s">
        <v>148</v>
      </c>
      <c r="D437" s="279" t="s">
        <v>143</v>
      </c>
      <c r="E437" s="441"/>
      <c r="F437" s="441"/>
      <c r="G437" s="441"/>
      <c r="H437" s="25" t="str">
        <f t="shared" si="28"/>
        <v/>
      </c>
      <c r="I437" s="25" t="str">
        <f t="shared" si="26"/>
        <v/>
      </c>
      <c r="J437" s="26" t="str">
        <f t="shared" si="27"/>
        <v/>
      </c>
      <c r="K437" s="252"/>
    </row>
    <row r="438" spans="1:11" x14ac:dyDescent="0.5">
      <c r="A438" s="440" t="s">
        <v>142</v>
      </c>
      <c r="B438" s="440" t="s">
        <v>105</v>
      </c>
      <c r="C438" s="440" t="s">
        <v>148</v>
      </c>
      <c r="D438" s="279" t="s">
        <v>143</v>
      </c>
      <c r="E438" s="441"/>
      <c r="F438" s="441"/>
      <c r="G438" s="441"/>
      <c r="H438" s="25" t="str">
        <f t="shared" si="28"/>
        <v/>
      </c>
      <c r="I438" s="25" t="str">
        <f t="shared" si="26"/>
        <v/>
      </c>
      <c r="J438" s="26" t="str">
        <f t="shared" si="27"/>
        <v/>
      </c>
      <c r="K438" s="252"/>
    </row>
    <row r="439" spans="1:11" x14ac:dyDescent="0.5">
      <c r="A439" s="440" t="s">
        <v>142</v>
      </c>
      <c r="B439" s="441" t="s">
        <v>103</v>
      </c>
      <c r="C439" s="441" t="s">
        <v>147</v>
      </c>
      <c r="D439" s="279" t="s">
        <v>144</v>
      </c>
      <c r="E439" s="441"/>
      <c r="F439" s="441"/>
      <c r="G439" s="441"/>
      <c r="H439" s="25" t="str">
        <f t="shared" si="28"/>
        <v/>
      </c>
      <c r="I439" s="25" t="str">
        <f t="shared" si="26"/>
        <v/>
      </c>
      <c r="J439" s="26" t="str">
        <f t="shared" si="27"/>
        <v/>
      </c>
      <c r="K439" s="252"/>
    </row>
    <row r="440" spans="1:11" x14ac:dyDescent="0.5">
      <c r="A440" s="440" t="s">
        <v>142</v>
      </c>
      <c r="B440" s="441" t="s">
        <v>104</v>
      </c>
      <c r="C440" s="441" t="s">
        <v>140</v>
      </c>
      <c r="D440" s="279" t="s">
        <v>137</v>
      </c>
      <c r="E440" s="441"/>
      <c r="F440" s="441"/>
      <c r="G440" s="441"/>
      <c r="H440" s="25" t="str">
        <f t="shared" si="28"/>
        <v/>
      </c>
      <c r="I440" s="25" t="str">
        <f t="shared" si="26"/>
        <v/>
      </c>
      <c r="J440" s="26" t="str">
        <f t="shared" si="27"/>
        <v/>
      </c>
      <c r="K440" s="252"/>
    </row>
    <row r="441" spans="1:11" x14ac:dyDescent="0.5">
      <c r="A441" s="440" t="s">
        <v>142</v>
      </c>
      <c r="B441" s="441" t="s">
        <v>105</v>
      </c>
      <c r="C441" s="441" t="s">
        <v>148</v>
      </c>
      <c r="D441" s="279" t="s">
        <v>138</v>
      </c>
      <c r="E441" s="441"/>
      <c r="F441" s="441"/>
      <c r="G441" s="441"/>
      <c r="H441" s="25" t="str">
        <f t="shared" si="28"/>
        <v/>
      </c>
      <c r="I441" s="25" t="str">
        <f t="shared" si="26"/>
        <v/>
      </c>
      <c r="J441" s="26" t="str">
        <f t="shared" si="27"/>
        <v/>
      </c>
      <c r="K441" s="252"/>
    </row>
    <row r="442" spans="1:11" x14ac:dyDescent="0.5">
      <c r="A442" s="440" t="s">
        <v>142</v>
      </c>
      <c r="B442" s="441" t="s">
        <v>106</v>
      </c>
      <c r="C442" s="441" t="s">
        <v>148</v>
      </c>
      <c r="D442" s="279" t="s">
        <v>141</v>
      </c>
      <c r="E442" s="441"/>
      <c r="F442" s="441"/>
      <c r="G442" s="441"/>
      <c r="H442" s="25" t="str">
        <f t="shared" si="28"/>
        <v/>
      </c>
      <c r="I442" s="25" t="str">
        <f t="shared" si="26"/>
        <v/>
      </c>
      <c r="J442" s="26" t="str">
        <f t="shared" si="27"/>
        <v/>
      </c>
      <c r="K442" s="252"/>
    </row>
    <row r="443" spans="1:11" x14ac:dyDescent="0.5">
      <c r="A443" s="440" t="s">
        <v>142</v>
      </c>
      <c r="B443" s="440" t="s">
        <v>146</v>
      </c>
      <c r="C443" s="441" t="s">
        <v>148</v>
      </c>
      <c r="D443" s="279" t="s">
        <v>145</v>
      </c>
      <c r="E443" s="441"/>
      <c r="F443" s="441"/>
      <c r="G443" s="441"/>
      <c r="H443" s="25" t="str">
        <f t="shared" si="28"/>
        <v/>
      </c>
      <c r="I443" s="25" t="str">
        <f t="shared" si="26"/>
        <v/>
      </c>
      <c r="J443" s="26" t="str">
        <f t="shared" si="27"/>
        <v/>
      </c>
      <c r="K443" s="252"/>
    </row>
    <row r="444" spans="1:11" x14ac:dyDescent="0.5">
      <c r="A444" s="440" t="s">
        <v>142</v>
      </c>
      <c r="B444" s="441"/>
      <c r="C444" s="441"/>
      <c r="D444" s="279"/>
      <c r="E444" s="442"/>
      <c r="F444" s="442"/>
      <c r="G444" s="442"/>
      <c r="H444" s="253" t="str">
        <f t="shared" si="28"/>
        <v/>
      </c>
      <c r="I444" s="253" t="str">
        <f t="shared" si="26"/>
        <v/>
      </c>
      <c r="J444" s="254" t="str">
        <f t="shared" si="27"/>
        <v/>
      </c>
      <c r="K444" s="255"/>
    </row>
  </sheetData>
  <dataConsolidate/>
  <mergeCells count="7">
    <mergeCell ref="M21:N21"/>
    <mergeCell ref="M10:N10"/>
    <mergeCell ref="A2:K2"/>
    <mergeCell ref="M4:M5"/>
    <mergeCell ref="M6:M7"/>
    <mergeCell ref="M2:N2"/>
    <mergeCell ref="M11:M12"/>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1000000}">
          <x14:formula1>
            <xm:f>Références!$C$2:$C$4</xm:f>
          </x14:formula1>
          <xm:sqref>C4:C444</xm:sqref>
        </x14:dataValidation>
        <x14:dataValidation type="list" allowBlank="1" showInputMessage="1" showErrorMessage="1" xr:uid="{00000000-0002-0000-0200-000002000000}">
          <x14:formula1>
            <xm:f>Références!$B$2:$B$6</xm:f>
          </x14:formula1>
          <xm:sqref>B369:B444</xm:sqref>
        </x14:dataValidation>
        <x14:dataValidation type="list" allowBlank="1" showInputMessage="1" showErrorMessage="1" xr:uid="{E6C6069B-2706-411A-ACAE-19EC9E692225}">
          <x14:formula1>
            <xm:f>Références!$B$2:$B$7</xm:f>
          </x14:formula1>
          <xm:sqref>B4:B368</xm:sqref>
        </x14:dataValidation>
        <x14:dataValidation type="list" allowBlank="1" showInputMessage="1" showErrorMessage="1" xr:uid="{35CE8F77-BE09-43DB-A37C-BFFAC05A3C83}">
          <x14:formula1>
            <xm:f>Références!$E$2:$E$16</xm:f>
          </x14:formula1>
          <xm:sqref>D4:D444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AL53"/>
  <sheetViews>
    <sheetView showGridLines="0" zoomScale="60" zoomScaleNormal="60" workbookViewId="0">
      <selection activeCell="E36" sqref="E36"/>
    </sheetView>
  </sheetViews>
  <sheetFormatPr baseColWidth="10" defaultColWidth="11" defaultRowHeight="18" x14ac:dyDescent="0.5"/>
  <cols>
    <col min="1" max="1" width="38" customWidth="1"/>
    <col min="4" max="38" width="5.77734375" customWidth="1"/>
  </cols>
  <sheetData>
    <row r="1" spans="1:38" ht="15" customHeight="1" thickBot="1" x14ac:dyDescent="0.55000000000000004"/>
    <row r="2" spans="1:38" ht="18.600000000000001" thickBot="1" x14ac:dyDescent="0.55000000000000004">
      <c r="A2" s="662" t="s">
        <v>149</v>
      </c>
      <c r="B2" s="670"/>
      <c r="C2" s="391">
        <f>C4+C9+C11+C13+C15+C17+C19+C20+C6</f>
        <v>0</v>
      </c>
    </row>
    <row r="3" spans="1:38" x14ac:dyDescent="0.5">
      <c r="A3" s="660" t="s">
        <v>150</v>
      </c>
      <c r="B3" s="653" t="s">
        <v>151</v>
      </c>
      <c r="C3" s="672"/>
      <c r="D3" s="82"/>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4"/>
    </row>
    <row r="4" spans="1:38" x14ac:dyDescent="0.5">
      <c r="A4" s="661"/>
      <c r="B4" s="11" t="s">
        <v>115</v>
      </c>
      <c r="C4" s="392">
        <f>SUM(D4:AL4)</f>
        <v>0</v>
      </c>
      <c r="D4" s="85"/>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7"/>
    </row>
    <row r="5" spans="1:38" ht="18.600000000000001" thickBot="1" x14ac:dyDescent="0.55000000000000004">
      <c r="A5" s="671"/>
      <c r="B5" s="7" t="s">
        <v>122</v>
      </c>
      <c r="C5" s="13">
        <f>SUM(D5:AL5)</f>
        <v>0</v>
      </c>
      <c r="D5" s="88"/>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90"/>
    </row>
    <row r="6" spans="1:38" x14ac:dyDescent="0.5">
      <c r="A6" s="661" t="s">
        <v>152</v>
      </c>
      <c r="B6" s="11" t="s">
        <v>115</v>
      </c>
      <c r="C6" s="392">
        <f>Références!K6*C7</f>
        <v>0</v>
      </c>
    </row>
    <row r="7" spans="1:38" ht="18.600000000000001" thickBot="1" x14ac:dyDescent="0.55000000000000004">
      <c r="A7" s="671" t="s">
        <v>152</v>
      </c>
      <c r="B7" s="7" t="s">
        <v>122</v>
      </c>
      <c r="C7" s="13">
        <f>'Stock et ration '!H5-'Stock et ration '!D5</f>
        <v>0</v>
      </c>
    </row>
    <row r="8" spans="1:38" x14ac:dyDescent="0.5">
      <c r="A8" s="660" t="s">
        <v>153</v>
      </c>
      <c r="B8" s="653" t="s">
        <v>151</v>
      </c>
      <c r="C8" s="672"/>
      <c r="D8" s="655" t="s">
        <v>154</v>
      </c>
      <c r="E8" s="656"/>
      <c r="F8" s="295"/>
      <c r="G8" s="295"/>
      <c r="H8" s="295"/>
      <c r="I8" s="295"/>
      <c r="J8" s="295"/>
      <c r="K8" s="295"/>
      <c r="L8" s="295"/>
      <c r="M8" s="295"/>
      <c r="N8" s="295"/>
      <c r="O8" s="295"/>
      <c r="P8" s="295"/>
      <c r="Q8" s="295"/>
      <c r="R8" s="295" t="s">
        <v>155</v>
      </c>
      <c r="S8" s="653" t="s">
        <v>156</v>
      </c>
      <c r="T8" s="654"/>
      <c r="U8" s="5"/>
      <c r="V8" s="5"/>
      <c r="W8" s="5"/>
      <c r="X8" s="5"/>
      <c r="Y8" s="5"/>
      <c r="Z8" s="5"/>
      <c r="AA8" s="5"/>
      <c r="AB8" s="5"/>
      <c r="AC8" s="5"/>
      <c r="AD8" s="5"/>
      <c r="AE8" s="5"/>
      <c r="AF8" s="5"/>
      <c r="AG8" s="5"/>
      <c r="AH8" s="5"/>
      <c r="AI8" s="5"/>
      <c r="AJ8" s="5"/>
      <c r="AK8" s="5"/>
      <c r="AL8" s="6" t="s">
        <v>155</v>
      </c>
    </row>
    <row r="9" spans="1:38" x14ac:dyDescent="0.5">
      <c r="A9" s="661"/>
      <c r="B9" s="11" t="s">
        <v>115</v>
      </c>
      <c r="C9" s="392">
        <f>SUM(D9:AL9)-R9-AL9</f>
        <v>0</v>
      </c>
      <c r="D9" s="296"/>
      <c r="E9" s="297"/>
      <c r="F9" s="297"/>
      <c r="G9" s="297"/>
      <c r="H9" s="297"/>
      <c r="I9" s="297"/>
      <c r="J9" s="297"/>
      <c r="K9" s="297"/>
      <c r="L9" s="297"/>
      <c r="M9" s="297"/>
      <c r="N9" s="297"/>
      <c r="O9" s="297"/>
      <c r="P9" s="297"/>
      <c r="Q9" s="297"/>
      <c r="R9" s="297"/>
      <c r="S9" s="11"/>
      <c r="T9" s="11"/>
      <c r="U9" s="11"/>
      <c r="V9" s="11"/>
      <c r="W9" s="11"/>
      <c r="X9" s="11"/>
      <c r="Y9" s="11"/>
      <c r="Z9" s="11"/>
      <c r="AA9" s="11"/>
      <c r="AB9" s="11"/>
      <c r="AC9" s="11"/>
      <c r="AD9" s="11"/>
      <c r="AE9" s="11"/>
      <c r="AF9" s="11"/>
      <c r="AG9" s="11"/>
      <c r="AH9" s="11"/>
      <c r="AI9" s="11"/>
      <c r="AJ9" s="11"/>
      <c r="AK9" s="11"/>
      <c r="AL9" s="12">
        <f>SUM(S9:AK9)</f>
        <v>0</v>
      </c>
    </row>
    <row r="10" spans="1:38" ht="18.600000000000001" thickBot="1" x14ac:dyDescent="0.55000000000000004">
      <c r="A10" s="671"/>
      <c r="B10" s="7" t="s">
        <v>122</v>
      </c>
      <c r="C10" s="12">
        <f>SUM(D10:AL10)-R10-AL10</f>
        <v>0</v>
      </c>
      <c r="D10" s="298"/>
      <c r="E10" s="299"/>
      <c r="F10" s="299"/>
      <c r="G10" s="299"/>
      <c r="H10" s="299"/>
      <c r="I10" s="299"/>
      <c r="J10" s="299"/>
      <c r="K10" s="299"/>
      <c r="L10" s="299"/>
      <c r="M10" s="299"/>
      <c r="N10" s="299"/>
      <c r="O10" s="299"/>
      <c r="P10" s="299"/>
      <c r="Q10" s="299"/>
      <c r="R10" s="297"/>
      <c r="S10" s="7"/>
      <c r="T10" s="7"/>
      <c r="U10" s="7"/>
      <c r="V10" s="7"/>
      <c r="W10" s="7"/>
      <c r="X10" s="7"/>
      <c r="Y10" s="7"/>
      <c r="Z10" s="7"/>
      <c r="AA10" s="7"/>
      <c r="AB10" s="7"/>
      <c r="AC10" s="7"/>
      <c r="AD10" s="7"/>
      <c r="AE10" s="7"/>
      <c r="AF10" s="7"/>
      <c r="AG10" s="7"/>
      <c r="AH10" s="7"/>
      <c r="AI10" s="7"/>
      <c r="AJ10" s="7"/>
      <c r="AK10" s="7"/>
      <c r="AL10" s="12">
        <f>SUM(S10:AK10)</f>
        <v>0</v>
      </c>
    </row>
    <row r="11" spans="1:38" x14ac:dyDescent="0.5">
      <c r="A11" s="661" t="s">
        <v>157</v>
      </c>
      <c r="B11" s="11" t="s">
        <v>115</v>
      </c>
      <c r="C11" s="392">
        <f t="shared" ref="C11:C18" si="0">SUM(D11:AL11)</f>
        <v>0</v>
      </c>
      <c r="D11" s="85"/>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7"/>
    </row>
    <row r="12" spans="1:38" ht="18.600000000000001" thickBot="1" x14ac:dyDescent="0.55000000000000004">
      <c r="A12" s="671"/>
      <c r="B12" s="7" t="s">
        <v>122</v>
      </c>
      <c r="C12" s="13">
        <f t="shared" si="0"/>
        <v>0</v>
      </c>
      <c r="D12" s="88"/>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90"/>
    </row>
    <row r="13" spans="1:38" x14ac:dyDescent="0.5">
      <c r="A13" s="661" t="s">
        <v>158</v>
      </c>
      <c r="B13" s="11" t="s">
        <v>115</v>
      </c>
      <c r="C13" s="392">
        <f t="shared" si="0"/>
        <v>0</v>
      </c>
      <c r="D13" s="85"/>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7"/>
    </row>
    <row r="14" spans="1:38" ht="18.600000000000001" thickBot="1" x14ac:dyDescent="0.55000000000000004">
      <c r="A14" s="671"/>
      <c r="B14" s="7" t="s">
        <v>122</v>
      </c>
      <c r="C14" s="13">
        <f t="shared" si="0"/>
        <v>0</v>
      </c>
      <c r="D14" s="88"/>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90"/>
    </row>
    <row r="15" spans="1:38" x14ac:dyDescent="0.5">
      <c r="A15" s="661" t="s">
        <v>159</v>
      </c>
      <c r="B15" s="11" t="s">
        <v>115</v>
      </c>
      <c r="C15" s="392">
        <f t="shared" si="0"/>
        <v>0</v>
      </c>
      <c r="D15" s="85"/>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7"/>
    </row>
    <row r="16" spans="1:38" ht="18.600000000000001" thickBot="1" x14ac:dyDescent="0.55000000000000004">
      <c r="A16" s="671"/>
      <c r="B16" s="7" t="s">
        <v>122</v>
      </c>
      <c r="C16" s="13">
        <f t="shared" si="0"/>
        <v>0</v>
      </c>
      <c r="D16" s="88"/>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90"/>
    </row>
    <row r="17" spans="1:38" x14ac:dyDescent="0.5">
      <c r="A17" s="661" t="s">
        <v>160</v>
      </c>
      <c r="B17" s="11" t="s">
        <v>115</v>
      </c>
      <c r="C17" s="392">
        <f>SUM(D17:AL17)</f>
        <v>0</v>
      </c>
      <c r="D17" s="85"/>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7"/>
    </row>
    <row r="18" spans="1:38" ht="18.600000000000001" thickBot="1" x14ac:dyDescent="0.55000000000000004">
      <c r="A18" s="671"/>
      <c r="B18" s="7" t="s">
        <v>122</v>
      </c>
      <c r="C18" s="13">
        <f t="shared" si="0"/>
        <v>0</v>
      </c>
      <c r="D18" s="88"/>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90"/>
    </row>
    <row r="19" spans="1:38" ht="18.600000000000001" thickBot="1" x14ac:dyDescent="0.55000000000000004">
      <c r="A19" s="62" t="s">
        <v>161</v>
      </c>
      <c r="B19" s="63" t="s">
        <v>115</v>
      </c>
      <c r="C19" s="393">
        <f>SUM(D19:AL19)</f>
        <v>0</v>
      </c>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3"/>
    </row>
    <row r="20" spans="1:38" x14ac:dyDescent="0.5">
      <c r="A20" s="62" t="s">
        <v>162</v>
      </c>
      <c r="B20" s="63" t="s">
        <v>115</v>
      </c>
      <c r="C20" s="393">
        <f>SUM(D20:AM20)</f>
        <v>0</v>
      </c>
      <c r="D20" s="94"/>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6"/>
    </row>
    <row r="21" spans="1:38" ht="18.600000000000001" customHeight="1" x14ac:dyDescent="0.5">
      <c r="A21" s="662" t="s">
        <v>163</v>
      </c>
      <c r="B21" s="670"/>
      <c r="C21" s="395">
        <f>C22+C23+C24+C25</f>
        <v>0</v>
      </c>
      <c r="D21" s="282"/>
      <c r="E21" s="283"/>
      <c r="F21" s="283"/>
      <c r="G21" s="283"/>
      <c r="H21" s="283"/>
      <c r="I21" s="283"/>
      <c r="J21" s="283"/>
      <c r="K21" s="283"/>
      <c r="L21" s="283"/>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283"/>
      <c r="AJ21" s="283"/>
      <c r="AK21" s="283"/>
      <c r="AL21" s="283"/>
    </row>
    <row r="22" spans="1:38" x14ac:dyDescent="0.5">
      <c r="A22" s="14" t="s">
        <v>164</v>
      </c>
      <c r="B22" s="9" t="s">
        <v>115</v>
      </c>
      <c r="C22" s="394">
        <f>SUM(D22:AL22)</f>
        <v>0</v>
      </c>
      <c r="D22" s="94"/>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6"/>
    </row>
    <row r="23" spans="1:38" ht="18.600000000000001" thickBot="1" x14ac:dyDescent="0.55000000000000004">
      <c r="A23" s="14" t="s">
        <v>165</v>
      </c>
      <c r="B23" s="9" t="s">
        <v>115</v>
      </c>
      <c r="C23" s="394">
        <f>SUM(D23:AL23)</f>
        <v>0</v>
      </c>
      <c r="D23" s="303" t="s">
        <v>166</v>
      </c>
      <c r="E23" s="304"/>
      <c r="F23" s="304" t="s">
        <v>167</v>
      </c>
      <c r="G23" s="304"/>
      <c r="H23" s="304" t="s">
        <v>168</v>
      </c>
      <c r="I23" s="304"/>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6"/>
    </row>
    <row r="24" spans="1:38" ht="18.600000000000001" thickBot="1" x14ac:dyDescent="0.55000000000000004">
      <c r="A24" s="14" t="s">
        <v>169</v>
      </c>
      <c r="B24" s="9" t="s">
        <v>115</v>
      </c>
      <c r="C24" s="394">
        <f>SUM(D24:AL24)</f>
        <v>0</v>
      </c>
      <c r="D24" s="94"/>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6"/>
    </row>
    <row r="25" spans="1:38" ht="18.600000000000001" thickBot="1" x14ac:dyDescent="0.55000000000000004">
      <c r="A25" s="14" t="s">
        <v>170</v>
      </c>
      <c r="B25" s="9" t="s">
        <v>115</v>
      </c>
      <c r="C25" s="396">
        <f>SUM(D25:AL25)</f>
        <v>0</v>
      </c>
      <c r="D25" s="303" t="s">
        <v>171</v>
      </c>
      <c r="E25" s="304"/>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6"/>
    </row>
    <row r="26" spans="1:38" ht="18.600000000000001" thickBot="1" x14ac:dyDescent="0.55000000000000004">
      <c r="A26" s="662" t="s">
        <v>172</v>
      </c>
      <c r="B26" s="663"/>
      <c r="C26" s="397">
        <f>C27</f>
        <v>0</v>
      </c>
    </row>
    <row r="27" spans="1:38" x14ac:dyDescent="0.5">
      <c r="A27" s="273" t="s">
        <v>173</v>
      </c>
      <c r="B27" s="9" t="s">
        <v>115</v>
      </c>
      <c r="C27" s="398">
        <f>SUM(D27:AL27)</f>
        <v>0</v>
      </c>
      <c r="D27" s="94"/>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6"/>
    </row>
    <row r="28" spans="1:38" ht="18.600000000000001" customHeight="1" x14ac:dyDescent="0.5">
      <c r="A28" s="662" t="s">
        <v>174</v>
      </c>
      <c r="B28" s="664"/>
      <c r="C28" s="397">
        <f>C29+C31+C33</f>
        <v>0</v>
      </c>
      <c r="D28" s="283"/>
      <c r="E28" s="283"/>
      <c r="F28" s="283"/>
      <c r="G28" s="283"/>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c r="AI28" s="283"/>
      <c r="AJ28" s="283"/>
      <c r="AK28" s="283"/>
      <c r="AL28" s="284"/>
    </row>
    <row r="29" spans="1:38" x14ac:dyDescent="0.5">
      <c r="A29" s="660" t="s">
        <v>175</v>
      </c>
      <c r="B29" s="11" t="s">
        <v>115</v>
      </c>
      <c r="C29" s="399">
        <f t="shared" ref="C29:C42" si="1">SUM(D29:AL29)</f>
        <v>0</v>
      </c>
      <c r="D29" s="94"/>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6"/>
    </row>
    <row r="30" spans="1:38" ht="18.600000000000001" thickBot="1" x14ac:dyDescent="0.55000000000000004">
      <c r="A30" s="661"/>
      <c r="B30" s="7" t="s">
        <v>113</v>
      </c>
      <c r="C30" s="38">
        <f t="shared" si="1"/>
        <v>0</v>
      </c>
      <c r="D30" s="94"/>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6"/>
    </row>
    <row r="31" spans="1:38" ht="18.600000000000001" thickBot="1" x14ac:dyDescent="0.55000000000000004">
      <c r="A31" s="660" t="s">
        <v>176</v>
      </c>
      <c r="B31" s="11" t="s">
        <v>115</v>
      </c>
      <c r="C31" s="400">
        <f t="shared" si="1"/>
        <v>0</v>
      </c>
      <c r="D31" s="94"/>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6"/>
    </row>
    <row r="32" spans="1:38" ht="18.600000000000001" thickBot="1" x14ac:dyDescent="0.55000000000000004">
      <c r="A32" s="661"/>
      <c r="B32" s="7" t="s">
        <v>113</v>
      </c>
      <c r="C32" s="38">
        <f t="shared" si="1"/>
        <v>0</v>
      </c>
      <c r="D32" s="94"/>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6"/>
    </row>
    <row r="33" spans="1:38" ht="18.600000000000001" thickBot="1" x14ac:dyDescent="0.55000000000000004">
      <c r="A33" s="660" t="s">
        <v>177</v>
      </c>
      <c r="B33" s="11" t="s">
        <v>115</v>
      </c>
      <c r="C33" s="400">
        <f t="shared" si="1"/>
        <v>0</v>
      </c>
      <c r="D33" s="94"/>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6"/>
    </row>
    <row r="34" spans="1:38" ht="18.600000000000001" thickBot="1" x14ac:dyDescent="0.55000000000000004">
      <c r="A34" s="661"/>
      <c r="B34" s="7" t="s">
        <v>113</v>
      </c>
      <c r="C34" s="274">
        <f t="shared" si="1"/>
        <v>0</v>
      </c>
      <c r="D34" s="94"/>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6"/>
    </row>
    <row r="35" spans="1:38" ht="18.600000000000001" thickBot="1" x14ac:dyDescent="0.55000000000000004">
      <c r="A35" s="662" t="s">
        <v>178</v>
      </c>
      <c r="B35" s="664"/>
      <c r="C35" s="397">
        <f>SUM(C36:C42)</f>
        <v>0</v>
      </c>
    </row>
    <row r="36" spans="1:38" ht="18.600000000000001" thickBot="1" x14ac:dyDescent="0.55000000000000004">
      <c r="A36" s="273" t="s">
        <v>179</v>
      </c>
      <c r="B36" s="9" t="s">
        <v>115</v>
      </c>
      <c r="C36" s="401">
        <f>SUM(E36:AL36)</f>
        <v>0</v>
      </c>
      <c r="D36" s="303" t="s">
        <v>180</v>
      </c>
      <c r="E36" s="303">
        <f>0.014*Calcule!AU52+0.28*(' Elevage'!P9+' Elevage'!S12)</f>
        <v>0</v>
      </c>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6"/>
    </row>
    <row r="37" spans="1:38" ht="18.600000000000001" thickBot="1" x14ac:dyDescent="0.55000000000000004">
      <c r="A37" s="273" t="s">
        <v>181</v>
      </c>
      <c r="B37" s="9" t="s">
        <v>115</v>
      </c>
      <c r="C37" s="394">
        <f>SUM(D37:AL37)</f>
        <v>0</v>
      </c>
      <c r="D37" s="94"/>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6"/>
    </row>
    <row r="38" spans="1:38" ht="18.600000000000001" thickBot="1" x14ac:dyDescent="0.55000000000000004">
      <c r="A38" s="667" t="s">
        <v>182</v>
      </c>
      <c r="B38" s="668"/>
      <c r="C38" s="669"/>
      <c r="D38" s="485"/>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c r="AD38" s="481"/>
      <c r="AE38" s="481"/>
      <c r="AF38" s="481"/>
      <c r="AG38" s="481"/>
      <c r="AH38" s="481"/>
      <c r="AI38" s="481"/>
      <c r="AJ38" s="481"/>
      <c r="AK38" s="481"/>
      <c r="AL38" s="482"/>
    </row>
    <row r="39" spans="1:38" ht="18.600000000000001" thickBot="1" x14ac:dyDescent="0.55000000000000004">
      <c r="A39" s="483" t="s">
        <v>183</v>
      </c>
      <c r="B39" s="479" t="s">
        <v>113</v>
      </c>
      <c r="C39" s="484">
        <f>SUM(D39:AL39)</f>
        <v>0</v>
      </c>
      <c r="D39" s="480"/>
      <c r="E39" s="481"/>
      <c r="F39" s="481"/>
      <c r="G39" s="481"/>
      <c r="H39" s="481"/>
      <c r="I39" s="481"/>
      <c r="J39" s="481"/>
      <c r="K39" s="481"/>
      <c r="L39" s="481"/>
      <c r="M39" s="481"/>
      <c r="N39" s="481"/>
      <c r="O39" s="481"/>
      <c r="P39" s="481"/>
      <c r="Q39" s="481"/>
      <c r="R39" s="481"/>
      <c r="S39" s="481"/>
      <c r="T39" s="481"/>
      <c r="U39" s="481"/>
      <c r="V39" s="481"/>
      <c r="W39" s="481"/>
      <c r="X39" s="481"/>
      <c r="Y39" s="481"/>
      <c r="Z39" s="481"/>
      <c r="AA39" s="481"/>
      <c r="AB39" s="481"/>
      <c r="AC39" s="481"/>
      <c r="AD39" s="481"/>
      <c r="AE39" s="481"/>
      <c r="AF39" s="481"/>
      <c r="AG39" s="481"/>
      <c r="AH39" s="481"/>
      <c r="AI39" s="481"/>
      <c r="AJ39" s="481"/>
      <c r="AK39" s="481"/>
      <c r="AL39" s="482"/>
    </row>
    <row r="40" spans="1:38" ht="18.600000000000001" thickBot="1" x14ac:dyDescent="0.55000000000000004">
      <c r="A40" s="483" t="s">
        <v>114</v>
      </c>
      <c r="B40" s="479" t="s">
        <v>184</v>
      </c>
      <c r="C40" s="484">
        <f>SUM(D40:AL40)</f>
        <v>0</v>
      </c>
      <c r="D40" s="480"/>
      <c r="E40" s="481"/>
      <c r="F40" s="481"/>
      <c r="G40" s="481"/>
      <c r="H40" s="481"/>
      <c r="I40" s="481"/>
      <c r="J40" s="481"/>
      <c r="K40" s="481"/>
      <c r="L40" s="481"/>
      <c r="M40" s="481"/>
      <c r="N40" s="481"/>
      <c r="O40" s="481"/>
      <c r="P40" s="481"/>
      <c r="Q40" s="481"/>
      <c r="R40" s="481"/>
      <c r="S40" s="481"/>
      <c r="T40" s="481"/>
      <c r="U40" s="481"/>
      <c r="V40" s="481"/>
      <c r="W40" s="481"/>
      <c r="X40" s="481"/>
      <c r="Y40" s="481"/>
      <c r="Z40" s="481"/>
      <c r="AA40" s="481"/>
      <c r="AB40" s="481"/>
      <c r="AC40" s="481"/>
      <c r="AD40" s="481"/>
      <c r="AE40" s="481"/>
      <c r="AF40" s="481"/>
      <c r="AG40" s="481"/>
      <c r="AH40" s="481"/>
      <c r="AI40" s="481"/>
      <c r="AJ40" s="481"/>
      <c r="AK40" s="481"/>
      <c r="AL40" s="482"/>
    </row>
    <row r="41" spans="1:38" ht="18.600000000000001" thickBot="1" x14ac:dyDescent="0.55000000000000004">
      <c r="A41" s="273" t="s">
        <v>185</v>
      </c>
      <c r="B41" s="9" t="s">
        <v>115</v>
      </c>
      <c r="C41" s="394">
        <f>SUM(D41:AL41)</f>
        <v>0</v>
      </c>
      <c r="D41" s="94"/>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6"/>
    </row>
    <row r="42" spans="1:38" ht="18.600000000000001" thickBot="1" x14ac:dyDescent="0.55000000000000004">
      <c r="A42" s="273" t="s">
        <v>186</v>
      </c>
      <c r="B42" s="9" t="s">
        <v>115</v>
      </c>
      <c r="C42" s="396">
        <f t="shared" si="1"/>
        <v>0</v>
      </c>
      <c r="D42" s="94"/>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6"/>
    </row>
    <row r="43" spans="1:38" ht="18.600000000000001" thickBot="1" x14ac:dyDescent="0.55000000000000004">
      <c r="A43" s="665" t="s">
        <v>187</v>
      </c>
      <c r="B43" s="666"/>
      <c r="C43" s="402">
        <f>C45+C47+C49+C50+C51+C52+C48</f>
        <v>0</v>
      </c>
    </row>
    <row r="44" spans="1:38" x14ac:dyDescent="0.5">
      <c r="A44" s="651" t="s">
        <v>188</v>
      </c>
      <c r="B44" s="658" t="s">
        <v>151</v>
      </c>
      <c r="C44" s="659"/>
      <c r="D44" s="97"/>
      <c r="E44" s="98"/>
      <c r="F44" s="98"/>
      <c r="G44" s="98"/>
      <c r="H44" s="99"/>
      <c r="I44" s="97"/>
      <c r="J44" s="98"/>
      <c r="K44" s="98"/>
      <c r="L44" s="98"/>
      <c r="M44" s="99"/>
      <c r="N44" s="97"/>
      <c r="O44" s="98"/>
      <c r="P44" s="98"/>
      <c r="Q44" s="98"/>
      <c r="R44" s="99"/>
      <c r="S44" s="97"/>
      <c r="T44" s="98"/>
      <c r="U44" s="98"/>
      <c r="V44" s="98"/>
      <c r="W44" s="99"/>
      <c r="X44" s="97"/>
      <c r="Y44" s="98"/>
      <c r="Z44" s="98"/>
      <c r="AA44" s="98"/>
      <c r="AB44" s="99"/>
      <c r="AC44" s="97"/>
      <c r="AD44" s="98"/>
      <c r="AE44" s="98"/>
      <c r="AF44" s="98"/>
      <c r="AG44" s="99"/>
      <c r="AH44" s="97"/>
      <c r="AI44" s="98"/>
      <c r="AJ44" s="98"/>
      <c r="AK44" s="98"/>
      <c r="AL44" s="99"/>
    </row>
    <row r="45" spans="1:38" x14ac:dyDescent="0.5">
      <c r="A45" s="657"/>
      <c r="B45" s="15" t="s">
        <v>115</v>
      </c>
      <c r="C45" s="403">
        <f t="shared" ref="C45:C52" si="2">SUM(D45:AG45)</f>
        <v>0</v>
      </c>
      <c r="D45" s="100"/>
      <c r="E45" s="101"/>
      <c r="F45" s="101"/>
      <c r="G45" s="101"/>
      <c r="H45" s="102"/>
      <c r="I45" s="100"/>
      <c r="J45" s="101"/>
      <c r="K45" s="101"/>
      <c r="L45" s="101"/>
      <c r="M45" s="102"/>
      <c r="N45" s="100"/>
      <c r="O45" s="101"/>
      <c r="P45" s="101"/>
      <c r="Q45" s="101"/>
      <c r="R45" s="102"/>
      <c r="S45" s="100"/>
      <c r="T45" s="101"/>
      <c r="U45" s="101"/>
      <c r="V45" s="101"/>
      <c r="W45" s="102"/>
      <c r="X45" s="100"/>
      <c r="Y45" s="101"/>
      <c r="Z45" s="101"/>
      <c r="AA45" s="101"/>
      <c r="AB45" s="102"/>
      <c r="AC45" s="100"/>
      <c r="AD45" s="101"/>
      <c r="AE45" s="101"/>
      <c r="AF45" s="101"/>
      <c r="AG45" s="102"/>
      <c r="AH45" s="100"/>
      <c r="AI45" s="101"/>
      <c r="AJ45" s="101"/>
      <c r="AK45" s="101"/>
      <c r="AL45" s="102"/>
    </row>
    <row r="46" spans="1:38" ht="18.600000000000001" thickBot="1" x14ac:dyDescent="0.55000000000000004">
      <c r="A46" s="652"/>
      <c r="B46" s="57" t="s">
        <v>122</v>
      </c>
      <c r="C46" s="58">
        <f t="shared" si="2"/>
        <v>0</v>
      </c>
      <c r="D46" s="103"/>
      <c r="E46" s="104"/>
      <c r="F46" s="104"/>
      <c r="G46" s="104"/>
      <c r="H46" s="105"/>
      <c r="I46" s="103"/>
      <c r="J46" s="104"/>
      <c r="K46" s="104"/>
      <c r="L46" s="104"/>
      <c r="M46" s="105"/>
      <c r="N46" s="103"/>
      <c r="O46" s="104"/>
      <c r="P46" s="104"/>
      <c r="Q46" s="104"/>
      <c r="R46" s="105"/>
      <c r="S46" s="103"/>
      <c r="T46" s="104"/>
      <c r="U46" s="104"/>
      <c r="V46" s="104"/>
      <c r="W46" s="105"/>
      <c r="X46" s="103"/>
      <c r="Y46" s="104"/>
      <c r="Z46" s="104"/>
      <c r="AA46" s="104"/>
      <c r="AB46" s="105"/>
      <c r="AC46" s="103"/>
      <c r="AD46" s="104"/>
      <c r="AE46" s="104"/>
      <c r="AF46" s="104"/>
      <c r="AG46" s="105"/>
      <c r="AH46" s="103"/>
      <c r="AI46" s="104"/>
      <c r="AJ46" s="104"/>
      <c r="AK46" s="104"/>
      <c r="AL46" s="105"/>
    </row>
    <row r="47" spans="1:38" ht="18.600000000000001" thickBot="1" x14ac:dyDescent="0.55000000000000004">
      <c r="A47" s="18" t="s">
        <v>189</v>
      </c>
      <c r="B47" s="17" t="s">
        <v>115</v>
      </c>
      <c r="C47" s="404">
        <f t="shared" si="2"/>
        <v>0</v>
      </c>
      <c r="D47" s="106"/>
      <c r="E47" s="107"/>
      <c r="F47" s="107"/>
      <c r="G47" s="107"/>
      <c r="H47" s="108"/>
      <c r="I47" s="106"/>
      <c r="J47" s="107"/>
      <c r="K47" s="107"/>
      <c r="L47" s="107"/>
      <c r="M47" s="108"/>
      <c r="N47" s="106"/>
      <c r="O47" s="107"/>
      <c r="P47" s="107"/>
      <c r="Q47" s="107"/>
      <c r="R47" s="108"/>
      <c r="S47" s="106"/>
      <c r="T47" s="107"/>
      <c r="U47" s="107"/>
      <c r="V47" s="107"/>
      <c r="W47" s="108"/>
      <c r="X47" s="106"/>
      <c r="Y47" s="107"/>
      <c r="Z47" s="107"/>
      <c r="AA47" s="107"/>
      <c r="AB47" s="108"/>
      <c r="AC47" s="106"/>
      <c r="AD47" s="107"/>
      <c r="AE47" s="107"/>
      <c r="AF47" s="107"/>
      <c r="AG47" s="108"/>
      <c r="AH47" s="106"/>
      <c r="AI47" s="107"/>
      <c r="AJ47" s="107"/>
      <c r="AK47" s="107"/>
      <c r="AL47" s="108"/>
    </row>
    <row r="48" spans="1:38" ht="18.600000000000001" thickBot="1" x14ac:dyDescent="0.55000000000000004">
      <c r="A48" s="18" t="s">
        <v>190</v>
      </c>
      <c r="B48" s="17" t="s">
        <v>115</v>
      </c>
      <c r="C48" s="404">
        <f t="shared" ref="C48" si="3">SUM(D48:AG48)</f>
        <v>0</v>
      </c>
      <c r="D48" s="106"/>
      <c r="E48" s="107"/>
      <c r="F48" s="107"/>
      <c r="G48" s="107"/>
      <c r="H48" s="108"/>
      <c r="I48" s="106"/>
      <c r="J48" s="107"/>
      <c r="K48" s="107"/>
      <c r="L48" s="107"/>
      <c r="M48" s="108"/>
      <c r="N48" s="106"/>
      <c r="O48" s="107"/>
      <c r="P48" s="107"/>
      <c r="Q48" s="107"/>
      <c r="R48" s="108"/>
      <c r="S48" s="106"/>
      <c r="T48" s="107"/>
      <c r="U48" s="107"/>
      <c r="V48" s="107"/>
      <c r="W48" s="108"/>
      <c r="X48" s="106"/>
      <c r="Y48" s="107"/>
      <c r="Z48" s="107"/>
      <c r="AA48" s="107"/>
      <c r="AB48" s="108"/>
      <c r="AC48" s="106"/>
      <c r="AD48" s="107"/>
      <c r="AE48" s="107"/>
      <c r="AF48" s="107"/>
      <c r="AG48" s="108"/>
      <c r="AH48" s="106"/>
      <c r="AI48" s="107"/>
      <c r="AJ48" s="107"/>
      <c r="AK48" s="107"/>
      <c r="AL48" s="108"/>
    </row>
    <row r="49" spans="1:38" ht="18.600000000000001" thickBot="1" x14ac:dyDescent="0.55000000000000004">
      <c r="A49" s="59" t="s">
        <v>191</v>
      </c>
      <c r="B49" s="17" t="s">
        <v>115</v>
      </c>
      <c r="C49" s="404">
        <f t="shared" si="2"/>
        <v>0</v>
      </c>
      <c r="D49" s="106"/>
      <c r="E49" s="107"/>
      <c r="F49" s="107"/>
      <c r="G49" s="107"/>
      <c r="H49" s="108"/>
      <c r="I49" s="106"/>
      <c r="J49" s="107"/>
      <c r="K49" s="107"/>
      <c r="L49" s="107"/>
      <c r="M49" s="108"/>
      <c r="N49" s="106"/>
      <c r="O49" s="107"/>
      <c r="P49" s="107"/>
      <c r="Q49" s="107"/>
      <c r="R49" s="108"/>
      <c r="S49" s="106"/>
      <c r="T49" s="107"/>
      <c r="U49" s="107"/>
      <c r="V49" s="107"/>
      <c r="W49" s="108"/>
      <c r="X49" s="106"/>
      <c r="Y49" s="107"/>
      <c r="Z49" s="107"/>
      <c r="AA49" s="107"/>
      <c r="AB49" s="108"/>
      <c r="AC49" s="106"/>
      <c r="AD49" s="107"/>
      <c r="AE49" s="107"/>
      <c r="AF49" s="107"/>
      <c r="AG49" s="108"/>
      <c r="AH49" s="106"/>
      <c r="AI49" s="107"/>
      <c r="AJ49" s="107"/>
      <c r="AK49" s="107"/>
      <c r="AL49" s="108"/>
    </row>
    <row r="50" spans="1:38" ht="18.600000000000001" thickBot="1" x14ac:dyDescent="0.55000000000000004">
      <c r="A50" s="16" t="s">
        <v>192</v>
      </c>
      <c r="B50" s="17" t="s">
        <v>115</v>
      </c>
      <c r="C50" s="404">
        <f t="shared" si="2"/>
        <v>0</v>
      </c>
      <c r="D50" s="106"/>
      <c r="E50" s="107"/>
      <c r="F50" s="107"/>
      <c r="G50" s="107"/>
      <c r="H50" s="108"/>
      <c r="I50" s="106"/>
      <c r="J50" s="107"/>
      <c r="K50" s="107"/>
      <c r="L50" s="107"/>
      <c r="M50" s="108"/>
      <c r="N50" s="106"/>
      <c r="O50" s="107"/>
      <c r="P50" s="107"/>
      <c r="Q50" s="107"/>
      <c r="R50" s="108"/>
      <c r="S50" s="106"/>
      <c r="T50" s="107"/>
      <c r="U50" s="107"/>
      <c r="V50" s="107"/>
      <c r="W50" s="108"/>
      <c r="X50" s="106"/>
      <c r="Y50" s="107"/>
      <c r="Z50" s="107"/>
      <c r="AA50" s="107"/>
      <c r="AB50" s="108"/>
      <c r="AC50" s="106"/>
      <c r="AD50" s="107"/>
      <c r="AE50" s="107"/>
      <c r="AF50" s="107"/>
      <c r="AG50" s="108"/>
      <c r="AH50" s="106"/>
      <c r="AI50" s="107"/>
      <c r="AJ50" s="107"/>
      <c r="AK50" s="107"/>
      <c r="AL50" s="108"/>
    </row>
    <row r="51" spans="1:38" ht="18.600000000000001" thickBot="1" x14ac:dyDescent="0.55000000000000004">
      <c r="A51" s="16" t="s">
        <v>193</v>
      </c>
      <c r="B51" s="17" t="s">
        <v>115</v>
      </c>
      <c r="C51" s="404">
        <f t="shared" si="2"/>
        <v>0</v>
      </c>
      <c r="D51" s="106"/>
      <c r="E51" s="107"/>
      <c r="F51" s="107"/>
      <c r="G51" s="107"/>
      <c r="H51" s="108"/>
      <c r="I51" s="106"/>
      <c r="J51" s="107"/>
      <c r="K51" s="107"/>
      <c r="L51" s="107"/>
      <c r="M51" s="108"/>
      <c r="N51" s="106"/>
      <c r="O51" s="107"/>
      <c r="P51" s="107"/>
      <c r="Q51" s="107"/>
      <c r="R51" s="108"/>
      <c r="S51" s="106"/>
      <c r="T51" s="107"/>
      <c r="U51" s="107"/>
      <c r="V51" s="107"/>
      <c r="W51" s="108"/>
      <c r="X51" s="106"/>
      <c r="Y51" s="107"/>
      <c r="Z51" s="107"/>
      <c r="AA51" s="107"/>
      <c r="AB51" s="108"/>
      <c r="AC51" s="106"/>
      <c r="AD51" s="107"/>
      <c r="AE51" s="107"/>
      <c r="AF51" s="107"/>
      <c r="AG51" s="108"/>
      <c r="AH51" s="106"/>
      <c r="AI51" s="107"/>
      <c r="AJ51" s="107"/>
      <c r="AK51" s="107"/>
      <c r="AL51" s="108"/>
    </row>
    <row r="52" spans="1:38" ht="18.600000000000001" thickBot="1" x14ac:dyDescent="0.55000000000000004">
      <c r="A52" s="16" t="s">
        <v>194</v>
      </c>
      <c r="B52" s="17" t="s">
        <v>115</v>
      </c>
      <c r="C52" s="404">
        <f t="shared" si="2"/>
        <v>0</v>
      </c>
      <c r="D52" s="106"/>
      <c r="E52" s="107"/>
      <c r="F52" s="107"/>
      <c r="G52" s="107"/>
      <c r="H52" s="108"/>
      <c r="I52" s="106"/>
      <c r="J52" s="107"/>
      <c r="K52" s="107"/>
      <c r="L52" s="107"/>
      <c r="M52" s="108"/>
      <c r="N52" s="106"/>
      <c r="O52" s="107"/>
      <c r="P52" s="107"/>
      <c r="Q52" s="107"/>
      <c r="R52" s="108"/>
      <c r="S52" s="106"/>
      <c r="T52" s="107"/>
      <c r="U52" s="107"/>
      <c r="V52" s="107"/>
      <c r="W52" s="108"/>
      <c r="X52" s="106"/>
      <c r="Y52" s="107"/>
      <c r="Z52" s="107"/>
      <c r="AA52" s="107"/>
      <c r="AB52" s="108"/>
      <c r="AC52" s="106"/>
      <c r="AD52" s="107"/>
      <c r="AE52" s="107"/>
      <c r="AF52" s="107"/>
      <c r="AG52" s="108"/>
      <c r="AH52" s="106"/>
      <c r="AI52" s="107"/>
      <c r="AJ52" s="107"/>
      <c r="AK52" s="107"/>
      <c r="AL52" s="108"/>
    </row>
    <row r="53" spans="1:38" ht="29.4" customHeight="1" x14ac:dyDescent="0.5">
      <c r="A53" s="54" t="s">
        <v>66</v>
      </c>
      <c r="B53" s="55"/>
      <c r="C53" s="405">
        <f>C2+C21+C26+C35+C43</f>
        <v>0</v>
      </c>
    </row>
  </sheetData>
  <mergeCells count="23">
    <mergeCell ref="A2:B2"/>
    <mergeCell ref="A21:B21"/>
    <mergeCell ref="A13:A14"/>
    <mergeCell ref="A15:A16"/>
    <mergeCell ref="A17:A18"/>
    <mergeCell ref="A3:A5"/>
    <mergeCell ref="A8:A10"/>
    <mergeCell ref="A11:A12"/>
    <mergeCell ref="B3:C3"/>
    <mergeCell ref="B8:C8"/>
    <mergeCell ref="A6:A7"/>
    <mergeCell ref="S8:T8"/>
    <mergeCell ref="D8:E8"/>
    <mergeCell ref="A44:A46"/>
    <mergeCell ref="B44:C44"/>
    <mergeCell ref="A29:A30"/>
    <mergeCell ref="A26:B26"/>
    <mergeCell ref="A28:B28"/>
    <mergeCell ref="A43:B43"/>
    <mergeCell ref="A35:B35"/>
    <mergeCell ref="A31:A32"/>
    <mergeCell ref="A33:A34"/>
    <mergeCell ref="A38:C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L12"/>
  <sheetViews>
    <sheetView showGridLines="0" zoomScale="80" zoomScaleNormal="80" workbookViewId="0">
      <selection activeCell="L4" sqref="L4"/>
    </sheetView>
  </sheetViews>
  <sheetFormatPr baseColWidth="10" defaultColWidth="11" defaultRowHeight="18" x14ac:dyDescent="0.5"/>
  <cols>
    <col min="1" max="9" width="16" customWidth="1"/>
    <col min="11" max="11" width="20.6640625" customWidth="1"/>
  </cols>
  <sheetData>
    <row r="1" spans="1:12" ht="18.600000000000001" thickBot="1" x14ac:dyDescent="0.55000000000000004"/>
    <row r="2" spans="1:12" ht="36.6" thickBot="1" x14ac:dyDescent="0.55000000000000004">
      <c r="B2" s="187" t="s">
        <v>82</v>
      </c>
      <c r="C2" s="188" t="s">
        <v>195</v>
      </c>
      <c r="D2" s="188" t="s">
        <v>196</v>
      </c>
      <c r="E2" s="188" t="s">
        <v>197</v>
      </c>
      <c r="F2" s="188" t="s">
        <v>198</v>
      </c>
      <c r="G2" s="188" t="s">
        <v>199</v>
      </c>
      <c r="H2" s="188" t="s">
        <v>200</v>
      </c>
      <c r="I2" s="189" t="s">
        <v>201</v>
      </c>
      <c r="K2" s="673" t="s">
        <v>202</v>
      </c>
      <c r="L2" s="674"/>
    </row>
    <row r="3" spans="1:12" x14ac:dyDescent="0.5">
      <c r="A3" s="181" t="s">
        <v>203</v>
      </c>
      <c r="B3" s="182"/>
      <c r="C3" s="182"/>
      <c r="D3" s="183">
        <f>'Charges ovin'!C16</f>
        <v>0</v>
      </c>
      <c r="E3" s="489"/>
      <c r="F3" s="182"/>
      <c r="G3" s="182"/>
      <c r="H3" s="193">
        <f>B3+C3+D3-E3-F3-G3</f>
        <v>0</v>
      </c>
      <c r="I3" s="190">
        <f>IF(' Elevage'!P3=0,0,(H3/' Elevage'!P3)*1000)</f>
        <v>0</v>
      </c>
      <c r="K3" s="184" t="s">
        <v>204</v>
      </c>
      <c r="L3" s="409" t="str">
        <f>IF(F3+H3=0,"",C3/(F3+H3))</f>
        <v/>
      </c>
    </row>
    <row r="4" spans="1:12" x14ac:dyDescent="0.5">
      <c r="A4" s="184" t="s">
        <v>205</v>
      </c>
      <c r="B4" s="2"/>
      <c r="C4" s="2"/>
      <c r="D4" s="44">
        <f>'Charges ovin'!C18</f>
        <v>0</v>
      </c>
      <c r="E4" s="261"/>
      <c r="F4" s="2"/>
      <c r="G4" s="2"/>
      <c r="H4" s="194">
        <f>B4+C4+D4-E4-F4-G4</f>
        <v>0</v>
      </c>
      <c r="I4" s="191">
        <f>IF(' Elevage'!P3=0,0,(H4/' Elevage'!P3)*1000)</f>
        <v>0</v>
      </c>
      <c r="K4" s="184" t="s">
        <v>160</v>
      </c>
      <c r="L4" s="409" t="str">
        <f>IF((F4+H4)=0,"",C4/(F4+H4))</f>
        <v/>
      </c>
    </row>
    <row r="5" spans="1:12" ht="18.600000000000001" thickBot="1" x14ac:dyDescent="0.55000000000000004">
      <c r="A5" s="184" t="s">
        <v>206</v>
      </c>
      <c r="B5" s="2"/>
      <c r="C5" s="2"/>
      <c r="D5" s="44">
        <f>'Charges ovin'!C5</f>
        <v>0</v>
      </c>
      <c r="E5" s="261"/>
      <c r="F5" s="2"/>
      <c r="G5" s="2"/>
      <c r="H5" s="194">
        <f>B5+C5+D5-E5-F5-G5</f>
        <v>0</v>
      </c>
      <c r="I5" s="191">
        <f>IF(' Elevage'!P3=0,0,(H5/' Elevage'!P3)*1000)</f>
        <v>0</v>
      </c>
      <c r="K5" s="185" t="s">
        <v>207</v>
      </c>
      <c r="L5" s="410" t="str">
        <f>IF(F5+H5+F6+H6=0,"",(C5+C6)/(F5+H5+F6+H6))</f>
        <v/>
      </c>
    </row>
    <row r="6" spans="1:12" ht="18.600000000000001" thickBot="1" x14ac:dyDescent="0.55000000000000004">
      <c r="A6" s="185" t="s">
        <v>208</v>
      </c>
      <c r="B6" s="3"/>
      <c r="C6" s="3"/>
      <c r="D6" s="186">
        <f>'Charges ovin'!C10</f>
        <v>0</v>
      </c>
      <c r="E6" s="490"/>
      <c r="F6" s="3"/>
      <c r="G6" s="3"/>
      <c r="H6" s="195">
        <f>B6+C6+D6-E6-F6-G6</f>
        <v>0</v>
      </c>
      <c r="I6" s="192">
        <f>IF(' Elevage'!P3=0,0,(H6/' Elevage'!P3)*1000)</f>
        <v>0</v>
      </c>
    </row>
    <row r="7" spans="1:12" ht="18.600000000000001" thickBot="1" x14ac:dyDescent="0.55000000000000004"/>
    <row r="8" spans="1:12" ht="18.600000000000001" thickBot="1" x14ac:dyDescent="0.55000000000000004">
      <c r="A8" s="676" t="s">
        <v>209</v>
      </c>
      <c r="B8" s="676"/>
      <c r="C8" s="676"/>
      <c r="D8" s="676"/>
      <c r="F8" s="677" t="s">
        <v>210</v>
      </c>
      <c r="G8" s="678"/>
      <c r="H8" s="679"/>
      <c r="I8" s="407" t="s">
        <v>211</v>
      </c>
    </row>
    <row r="9" spans="1:12" x14ac:dyDescent="0.5">
      <c r="A9" s="675"/>
      <c r="B9" s="675"/>
      <c r="C9" s="675"/>
      <c r="D9" s="675"/>
      <c r="F9" s="680" t="s">
        <v>212</v>
      </c>
      <c r="G9" s="681"/>
      <c r="H9" s="145"/>
      <c r="I9" s="686">
        <f>H6-H9-H10</f>
        <v>0</v>
      </c>
    </row>
    <row r="10" spans="1:12" x14ac:dyDescent="0.5">
      <c r="A10" s="675"/>
      <c r="B10" s="675"/>
      <c r="C10" s="675"/>
      <c r="D10" s="675"/>
      <c r="F10" s="682" t="s">
        <v>213</v>
      </c>
      <c r="G10" s="683"/>
      <c r="H10" s="2"/>
      <c r="I10" s="687"/>
    </row>
    <row r="11" spans="1:12" x14ac:dyDescent="0.5">
      <c r="A11" s="675"/>
      <c r="B11" s="675"/>
      <c r="C11" s="675"/>
      <c r="D11" s="675"/>
      <c r="F11" s="682" t="s">
        <v>214</v>
      </c>
      <c r="G11" s="683"/>
      <c r="H11" s="2"/>
      <c r="I11" s="688">
        <f>H5-H11-H12</f>
        <v>0</v>
      </c>
    </row>
    <row r="12" spans="1:12" ht="18.600000000000001" thickBot="1" x14ac:dyDescent="0.55000000000000004">
      <c r="A12" s="675"/>
      <c r="B12" s="675"/>
      <c r="C12" s="675"/>
      <c r="D12" s="675"/>
      <c r="F12" s="684" t="s">
        <v>215</v>
      </c>
      <c r="G12" s="685"/>
      <c r="H12" s="3"/>
      <c r="I12" s="689"/>
    </row>
  </sheetData>
  <mergeCells count="10">
    <mergeCell ref="K2:L2"/>
    <mergeCell ref="A9:D12"/>
    <mergeCell ref="A8:D8"/>
    <mergeCell ref="F8:H8"/>
    <mergeCell ref="F9:G9"/>
    <mergeCell ref="F10:G10"/>
    <mergeCell ref="F11:G11"/>
    <mergeCell ref="F12:G12"/>
    <mergeCell ref="I9:I10"/>
    <mergeCell ref="I11:I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A1:AN28"/>
  <sheetViews>
    <sheetView view="pageLayout" zoomScaleNormal="100" workbookViewId="0">
      <selection activeCell="D4" sqref="D4"/>
    </sheetView>
  </sheetViews>
  <sheetFormatPr baseColWidth="10" defaultColWidth="11" defaultRowHeight="18" x14ac:dyDescent="0.5"/>
  <cols>
    <col min="3" max="3" width="23.33203125" customWidth="1"/>
    <col min="4" max="8" width="8.44140625" customWidth="1"/>
    <col min="11" max="11" width="23.33203125" customWidth="1"/>
    <col min="12" max="16" width="8.44140625" customWidth="1"/>
    <col min="19" max="19" width="23.33203125" customWidth="1"/>
    <col min="20" max="24" width="8.44140625" customWidth="1"/>
    <col min="27" max="27" width="23.33203125" customWidth="1"/>
    <col min="28" max="32" width="8.44140625" customWidth="1"/>
    <col min="35" max="35" width="23.33203125" customWidth="1"/>
    <col min="36" max="40" width="8.44140625" customWidth="1"/>
    <col min="48" max="48" width="19.6640625" customWidth="1"/>
  </cols>
  <sheetData>
    <row r="1" spans="1:40" ht="18.600000000000001" thickBot="1" x14ac:dyDescent="0.55000000000000004"/>
    <row r="2" spans="1:40" ht="18.600000000000001" thickBot="1" x14ac:dyDescent="0.55000000000000004">
      <c r="A2" s="692" t="s">
        <v>216</v>
      </c>
      <c r="B2" s="693"/>
      <c r="C2" s="694"/>
      <c r="D2" s="695"/>
      <c r="E2" s="695"/>
      <c r="F2" s="695"/>
      <c r="G2" s="695"/>
      <c r="H2" s="696"/>
      <c r="I2" s="692" t="s">
        <v>216</v>
      </c>
      <c r="J2" s="693"/>
      <c r="K2" s="694"/>
      <c r="L2" s="695"/>
      <c r="M2" s="695"/>
      <c r="N2" s="695"/>
      <c r="O2" s="695"/>
      <c r="P2" s="696"/>
      <c r="Q2" s="692" t="s">
        <v>216</v>
      </c>
      <c r="R2" s="693"/>
      <c r="S2" s="694"/>
      <c r="T2" s="695"/>
      <c r="U2" s="695"/>
      <c r="V2" s="695"/>
      <c r="W2" s="695"/>
      <c r="X2" s="696"/>
      <c r="Y2" s="692" t="s">
        <v>216</v>
      </c>
      <c r="Z2" s="693"/>
      <c r="AA2" s="694"/>
      <c r="AB2" s="695"/>
      <c r="AC2" s="695"/>
      <c r="AD2" s="695"/>
      <c r="AE2" s="695"/>
      <c r="AF2" s="696"/>
      <c r="AG2" s="692" t="s">
        <v>216</v>
      </c>
      <c r="AH2" s="693"/>
      <c r="AI2" s="694"/>
      <c r="AJ2" s="695"/>
      <c r="AK2" s="695"/>
      <c r="AL2" s="695"/>
      <c r="AM2" s="695"/>
      <c r="AN2" s="696"/>
    </row>
    <row r="4" spans="1:40" ht="18.600000000000001" thickBot="1" x14ac:dyDescent="0.55000000000000004"/>
    <row r="5" spans="1:40" ht="18.600000000000001" thickBot="1" x14ac:dyDescent="0.55000000000000004">
      <c r="A5" s="690" t="s">
        <v>217</v>
      </c>
      <c r="B5" s="697"/>
      <c r="C5" s="691"/>
      <c r="I5" s="690" t="s">
        <v>217</v>
      </c>
      <c r="J5" s="697"/>
      <c r="K5" s="691"/>
      <c r="Q5" s="690" t="s">
        <v>217</v>
      </c>
      <c r="R5" s="697"/>
      <c r="S5" s="691"/>
      <c r="Y5" s="690" t="s">
        <v>217</v>
      </c>
      <c r="Z5" s="697"/>
      <c r="AA5" s="691"/>
      <c r="AG5" s="690" t="s">
        <v>217</v>
      </c>
      <c r="AH5" s="697"/>
      <c r="AI5" s="691"/>
    </row>
    <row r="6" spans="1:40" ht="18.600000000000001" thickBot="1" x14ac:dyDescent="0.55000000000000004">
      <c r="A6" s="341"/>
      <c r="B6" s="342" t="s">
        <v>115</v>
      </c>
      <c r="C6" s="343">
        <f>SUM(D6:H6)</f>
        <v>0</v>
      </c>
      <c r="D6" s="344"/>
      <c r="E6" s="3"/>
      <c r="F6" s="3"/>
      <c r="G6" s="3"/>
      <c r="H6" s="3"/>
      <c r="I6" s="341"/>
      <c r="J6" s="342" t="s">
        <v>115</v>
      </c>
      <c r="K6" s="343">
        <f>SUM(L6:P6)</f>
        <v>0</v>
      </c>
      <c r="L6" s="344"/>
      <c r="M6" s="3"/>
      <c r="N6" s="3"/>
      <c r="O6" s="3"/>
      <c r="P6" s="3"/>
      <c r="Q6" s="341"/>
      <c r="R6" s="342" t="s">
        <v>115</v>
      </c>
      <c r="S6" s="343">
        <f>SUM(T6:X6)</f>
        <v>0</v>
      </c>
      <c r="T6" s="344"/>
      <c r="U6" s="3"/>
      <c r="V6" s="3"/>
      <c r="W6" s="3"/>
      <c r="X6" s="3"/>
      <c r="Y6" s="341"/>
      <c r="Z6" s="342" t="s">
        <v>115</v>
      </c>
      <c r="AA6" s="343">
        <f>SUM(AB6:AF6)</f>
        <v>0</v>
      </c>
      <c r="AB6" s="344"/>
      <c r="AC6" s="3"/>
      <c r="AD6" s="3"/>
      <c r="AE6" s="3"/>
      <c r="AF6" s="3"/>
      <c r="AG6" s="341"/>
      <c r="AH6" s="342" t="s">
        <v>115</v>
      </c>
      <c r="AI6" s="343">
        <f>SUM(AJ6:AN6)</f>
        <v>0</v>
      </c>
      <c r="AJ6" s="344"/>
      <c r="AK6" s="3"/>
      <c r="AL6" s="3"/>
      <c r="AM6" s="3"/>
      <c r="AN6" s="3"/>
    </row>
    <row r="7" spans="1:40" ht="18.600000000000001" thickBot="1" x14ac:dyDescent="0.55000000000000004">
      <c r="A7" s="341"/>
      <c r="B7" s="342" t="s">
        <v>115</v>
      </c>
      <c r="C7" s="343">
        <f t="shared" ref="C7:C13" si="0">SUM(D7:H7)</f>
        <v>0</v>
      </c>
      <c r="D7" s="344"/>
      <c r="E7" s="3"/>
      <c r="F7" s="3"/>
      <c r="G7" s="3"/>
      <c r="H7" s="3"/>
      <c r="I7" s="341"/>
      <c r="J7" s="342" t="s">
        <v>115</v>
      </c>
      <c r="K7" s="343">
        <f t="shared" ref="K7:K13" si="1">SUM(L7:P7)</f>
        <v>0</v>
      </c>
      <c r="L7" s="344"/>
      <c r="M7" s="3"/>
      <c r="N7" s="3"/>
      <c r="O7" s="3"/>
      <c r="P7" s="3"/>
      <c r="Q7" s="341"/>
      <c r="R7" s="342" t="s">
        <v>115</v>
      </c>
      <c r="S7" s="343">
        <f t="shared" ref="S7:S13" si="2">SUM(T7:X7)</f>
        <v>0</v>
      </c>
      <c r="T7" s="344"/>
      <c r="U7" s="3"/>
      <c r="V7" s="3"/>
      <c r="W7" s="3"/>
      <c r="X7" s="3"/>
      <c r="Y7" s="341"/>
      <c r="Z7" s="342" t="s">
        <v>115</v>
      </c>
      <c r="AA7" s="343">
        <f t="shared" ref="AA7:AA13" si="3">SUM(AB7:AF7)</f>
        <v>0</v>
      </c>
      <c r="AB7" s="344"/>
      <c r="AC7" s="3"/>
      <c r="AD7" s="3"/>
      <c r="AE7" s="3"/>
      <c r="AF7" s="3"/>
      <c r="AG7" s="341"/>
      <c r="AH7" s="342" t="s">
        <v>115</v>
      </c>
      <c r="AI7" s="343">
        <f t="shared" ref="AI7:AI13" si="4">SUM(AJ7:AN7)</f>
        <v>0</v>
      </c>
      <c r="AJ7" s="344"/>
      <c r="AK7" s="3"/>
      <c r="AL7" s="3"/>
      <c r="AM7" s="3"/>
      <c r="AN7" s="3"/>
    </row>
    <row r="8" spans="1:40" ht="18.600000000000001" thickBot="1" x14ac:dyDescent="0.55000000000000004">
      <c r="A8" s="341"/>
      <c r="B8" s="342" t="s">
        <v>115</v>
      </c>
      <c r="C8" s="343">
        <f t="shared" si="0"/>
        <v>0</v>
      </c>
      <c r="D8" s="344"/>
      <c r="E8" s="3"/>
      <c r="F8" s="3"/>
      <c r="G8" s="3"/>
      <c r="H8" s="3"/>
      <c r="I8" s="341"/>
      <c r="J8" s="342" t="s">
        <v>115</v>
      </c>
      <c r="K8" s="343">
        <f t="shared" si="1"/>
        <v>0</v>
      </c>
      <c r="L8" s="344"/>
      <c r="M8" s="3"/>
      <c r="N8" s="3"/>
      <c r="O8" s="3"/>
      <c r="P8" s="3"/>
      <c r="Q8" s="341"/>
      <c r="R8" s="342" t="s">
        <v>115</v>
      </c>
      <c r="S8" s="343">
        <f t="shared" si="2"/>
        <v>0</v>
      </c>
      <c r="T8" s="344"/>
      <c r="U8" s="3"/>
      <c r="V8" s="3"/>
      <c r="W8" s="3"/>
      <c r="X8" s="3"/>
      <c r="Y8" s="341"/>
      <c r="Z8" s="342" t="s">
        <v>115</v>
      </c>
      <c r="AA8" s="343">
        <f t="shared" si="3"/>
        <v>0</v>
      </c>
      <c r="AB8" s="344"/>
      <c r="AC8" s="3"/>
      <c r="AD8" s="3"/>
      <c r="AE8" s="3"/>
      <c r="AF8" s="3"/>
      <c r="AG8" s="341"/>
      <c r="AH8" s="342" t="s">
        <v>115</v>
      </c>
      <c r="AI8" s="343">
        <f t="shared" si="4"/>
        <v>0</v>
      </c>
      <c r="AJ8" s="344"/>
      <c r="AK8" s="3"/>
      <c r="AL8" s="3"/>
      <c r="AM8" s="3"/>
      <c r="AN8" s="3"/>
    </row>
    <row r="9" spans="1:40" ht="18.600000000000001" thickBot="1" x14ac:dyDescent="0.55000000000000004">
      <c r="A9" s="341"/>
      <c r="B9" s="342" t="s">
        <v>115</v>
      </c>
      <c r="C9" s="343">
        <f t="shared" si="0"/>
        <v>0</v>
      </c>
      <c r="D9" s="344"/>
      <c r="E9" s="3"/>
      <c r="F9" s="3"/>
      <c r="G9" s="3"/>
      <c r="H9" s="3"/>
      <c r="I9" s="341"/>
      <c r="J9" s="342" t="s">
        <v>115</v>
      </c>
      <c r="K9" s="343">
        <f t="shared" si="1"/>
        <v>0</v>
      </c>
      <c r="L9" s="344"/>
      <c r="M9" s="3"/>
      <c r="N9" s="3"/>
      <c r="O9" s="3"/>
      <c r="P9" s="3"/>
      <c r="Q9" s="341"/>
      <c r="R9" s="342" t="s">
        <v>115</v>
      </c>
      <c r="S9" s="343">
        <f t="shared" si="2"/>
        <v>0</v>
      </c>
      <c r="T9" s="344"/>
      <c r="U9" s="3"/>
      <c r="V9" s="3"/>
      <c r="W9" s="3"/>
      <c r="X9" s="3"/>
      <c r="Y9" s="341"/>
      <c r="Z9" s="342" t="s">
        <v>115</v>
      </c>
      <c r="AA9" s="343">
        <f t="shared" si="3"/>
        <v>0</v>
      </c>
      <c r="AB9" s="344"/>
      <c r="AC9" s="3"/>
      <c r="AD9" s="3"/>
      <c r="AE9" s="3"/>
      <c r="AF9" s="3"/>
      <c r="AG9" s="341"/>
      <c r="AH9" s="342" t="s">
        <v>115</v>
      </c>
      <c r="AI9" s="343">
        <f t="shared" si="4"/>
        <v>0</v>
      </c>
      <c r="AJ9" s="344"/>
      <c r="AK9" s="3"/>
      <c r="AL9" s="3"/>
      <c r="AM9" s="3"/>
      <c r="AN9" s="3"/>
    </row>
    <row r="10" spans="1:40" ht="18.600000000000001" thickBot="1" x14ac:dyDescent="0.55000000000000004">
      <c r="A10" s="341"/>
      <c r="B10" s="342" t="s">
        <v>115</v>
      </c>
      <c r="C10" s="343">
        <f t="shared" si="0"/>
        <v>0</v>
      </c>
      <c r="D10" s="344"/>
      <c r="E10" s="3"/>
      <c r="F10" s="3"/>
      <c r="G10" s="3"/>
      <c r="H10" s="3"/>
      <c r="I10" s="341"/>
      <c r="J10" s="342" t="s">
        <v>115</v>
      </c>
      <c r="K10" s="343">
        <f t="shared" si="1"/>
        <v>0</v>
      </c>
      <c r="L10" s="344"/>
      <c r="M10" s="3"/>
      <c r="N10" s="3"/>
      <c r="O10" s="3"/>
      <c r="P10" s="3"/>
      <c r="Q10" s="341"/>
      <c r="R10" s="342" t="s">
        <v>115</v>
      </c>
      <c r="S10" s="343">
        <f t="shared" si="2"/>
        <v>0</v>
      </c>
      <c r="T10" s="344"/>
      <c r="U10" s="3"/>
      <c r="V10" s="3"/>
      <c r="W10" s="3"/>
      <c r="X10" s="3"/>
      <c r="Y10" s="341"/>
      <c r="Z10" s="342" t="s">
        <v>115</v>
      </c>
      <c r="AA10" s="343">
        <f t="shared" si="3"/>
        <v>0</v>
      </c>
      <c r="AB10" s="344"/>
      <c r="AC10" s="3"/>
      <c r="AD10" s="3"/>
      <c r="AE10" s="3"/>
      <c r="AF10" s="3"/>
      <c r="AG10" s="341"/>
      <c r="AH10" s="342" t="s">
        <v>115</v>
      </c>
      <c r="AI10" s="343">
        <f t="shared" si="4"/>
        <v>0</v>
      </c>
      <c r="AJ10" s="344"/>
      <c r="AK10" s="3"/>
      <c r="AL10" s="3"/>
      <c r="AM10" s="3"/>
      <c r="AN10" s="3"/>
    </row>
    <row r="11" spans="1:40" ht="18.600000000000001" thickBot="1" x14ac:dyDescent="0.55000000000000004">
      <c r="A11" s="341"/>
      <c r="B11" s="342" t="s">
        <v>115</v>
      </c>
      <c r="C11" s="343">
        <f t="shared" si="0"/>
        <v>0</v>
      </c>
      <c r="D11" s="344"/>
      <c r="E11" s="3"/>
      <c r="F11" s="3"/>
      <c r="G11" s="3"/>
      <c r="H11" s="3"/>
      <c r="I11" s="341"/>
      <c r="J11" s="342" t="s">
        <v>115</v>
      </c>
      <c r="K11" s="343">
        <f t="shared" si="1"/>
        <v>0</v>
      </c>
      <c r="L11" s="344"/>
      <c r="M11" s="3"/>
      <c r="N11" s="3"/>
      <c r="O11" s="3"/>
      <c r="P11" s="3"/>
      <c r="Q11" s="341"/>
      <c r="R11" s="342" t="s">
        <v>115</v>
      </c>
      <c r="S11" s="343">
        <f t="shared" si="2"/>
        <v>0</v>
      </c>
      <c r="T11" s="344"/>
      <c r="U11" s="3"/>
      <c r="V11" s="3"/>
      <c r="W11" s="3"/>
      <c r="X11" s="3"/>
      <c r="Y11" s="341"/>
      <c r="Z11" s="342" t="s">
        <v>115</v>
      </c>
      <c r="AA11" s="343">
        <f t="shared" si="3"/>
        <v>0</v>
      </c>
      <c r="AB11" s="344"/>
      <c r="AC11" s="3"/>
      <c r="AD11" s="3"/>
      <c r="AE11" s="3"/>
      <c r="AF11" s="3"/>
      <c r="AG11" s="341"/>
      <c r="AH11" s="342" t="s">
        <v>115</v>
      </c>
      <c r="AI11" s="343">
        <f t="shared" si="4"/>
        <v>0</v>
      </c>
      <c r="AJ11" s="344"/>
      <c r="AK11" s="3"/>
      <c r="AL11" s="3"/>
      <c r="AM11" s="3"/>
      <c r="AN11" s="3"/>
    </row>
    <row r="12" spans="1:40" ht="18.600000000000001" thickBot="1" x14ac:dyDescent="0.55000000000000004">
      <c r="A12" s="341"/>
      <c r="B12" s="342" t="s">
        <v>115</v>
      </c>
      <c r="C12" s="343">
        <f t="shared" si="0"/>
        <v>0</v>
      </c>
      <c r="D12" s="344"/>
      <c r="E12" s="3"/>
      <c r="F12" s="3"/>
      <c r="G12" s="3"/>
      <c r="H12" s="3"/>
      <c r="I12" s="341"/>
      <c r="J12" s="342" t="s">
        <v>115</v>
      </c>
      <c r="K12" s="343">
        <f t="shared" si="1"/>
        <v>0</v>
      </c>
      <c r="L12" s="344"/>
      <c r="M12" s="3"/>
      <c r="N12" s="3"/>
      <c r="O12" s="3"/>
      <c r="P12" s="3"/>
      <c r="Q12" s="341"/>
      <c r="R12" s="342" t="s">
        <v>115</v>
      </c>
      <c r="S12" s="343">
        <f t="shared" si="2"/>
        <v>0</v>
      </c>
      <c r="T12" s="344"/>
      <c r="U12" s="3"/>
      <c r="V12" s="3"/>
      <c r="W12" s="3"/>
      <c r="X12" s="3"/>
      <c r="Y12" s="341"/>
      <c r="Z12" s="342" t="s">
        <v>115</v>
      </c>
      <c r="AA12" s="343">
        <f t="shared" si="3"/>
        <v>0</v>
      </c>
      <c r="AB12" s="344"/>
      <c r="AC12" s="3"/>
      <c r="AD12" s="3"/>
      <c r="AE12" s="3"/>
      <c r="AF12" s="3"/>
      <c r="AG12" s="341"/>
      <c r="AH12" s="342" t="s">
        <v>115</v>
      </c>
      <c r="AI12" s="343">
        <f t="shared" si="4"/>
        <v>0</v>
      </c>
      <c r="AJ12" s="344"/>
      <c r="AK12" s="3"/>
      <c r="AL12" s="3"/>
      <c r="AM12" s="3"/>
      <c r="AN12" s="3"/>
    </row>
    <row r="13" spans="1:40" ht="18.600000000000001" thickBot="1" x14ac:dyDescent="0.55000000000000004">
      <c r="A13" s="341"/>
      <c r="B13" s="342" t="s">
        <v>115</v>
      </c>
      <c r="C13" s="343">
        <f t="shared" si="0"/>
        <v>0</v>
      </c>
      <c r="D13" s="344"/>
      <c r="E13" s="3"/>
      <c r="F13" s="3"/>
      <c r="G13" s="3"/>
      <c r="H13" s="3"/>
      <c r="I13" s="341"/>
      <c r="J13" s="342" t="s">
        <v>115</v>
      </c>
      <c r="K13" s="343">
        <f t="shared" si="1"/>
        <v>0</v>
      </c>
      <c r="L13" s="344"/>
      <c r="M13" s="3"/>
      <c r="N13" s="3"/>
      <c r="O13" s="3"/>
      <c r="P13" s="3"/>
      <c r="Q13" s="341"/>
      <c r="R13" s="342" t="s">
        <v>115</v>
      </c>
      <c r="S13" s="343">
        <f t="shared" si="2"/>
        <v>0</v>
      </c>
      <c r="T13" s="344"/>
      <c r="U13" s="3"/>
      <c r="V13" s="3"/>
      <c r="W13" s="3"/>
      <c r="X13" s="3"/>
      <c r="Y13" s="341"/>
      <c r="Z13" s="342" t="s">
        <v>115</v>
      </c>
      <c r="AA13" s="343">
        <f t="shared" si="3"/>
        <v>0</v>
      </c>
      <c r="AB13" s="344"/>
      <c r="AC13" s="3"/>
      <c r="AD13" s="3"/>
      <c r="AE13" s="3"/>
      <c r="AF13" s="3"/>
      <c r="AG13" s="341"/>
      <c r="AH13" s="342" t="s">
        <v>115</v>
      </c>
      <c r="AI13" s="343">
        <f t="shared" si="4"/>
        <v>0</v>
      </c>
      <c r="AJ13" s="344"/>
      <c r="AK13" s="3"/>
      <c r="AL13" s="3"/>
      <c r="AM13" s="3"/>
      <c r="AN13" s="3"/>
    </row>
    <row r="14" spans="1:40" ht="18.600000000000001" thickBot="1" x14ac:dyDescent="0.55000000000000004">
      <c r="A14" s="690" t="s">
        <v>66</v>
      </c>
      <c r="B14" s="691"/>
      <c r="C14" s="345">
        <f>SUM(C6:C13)</f>
        <v>0</v>
      </c>
      <c r="I14" s="690" t="s">
        <v>66</v>
      </c>
      <c r="J14" s="691"/>
      <c r="K14" s="345">
        <f>SUM(K6:K13)</f>
        <v>0</v>
      </c>
      <c r="Q14" s="690" t="s">
        <v>66</v>
      </c>
      <c r="R14" s="691"/>
      <c r="S14" s="345">
        <f>SUM(S6:S13)</f>
        <v>0</v>
      </c>
      <c r="Y14" s="690" t="s">
        <v>66</v>
      </c>
      <c r="Z14" s="691"/>
      <c r="AA14" s="345">
        <f>SUM(AA6:AA13)</f>
        <v>0</v>
      </c>
      <c r="AG14" s="690" t="s">
        <v>66</v>
      </c>
      <c r="AH14" s="691"/>
      <c r="AI14" s="345">
        <f>SUM(AI6:AI13)</f>
        <v>0</v>
      </c>
    </row>
    <row r="15" spans="1:40" ht="18.600000000000001" thickBot="1" x14ac:dyDescent="0.55000000000000004"/>
    <row r="16" spans="1:40" ht="18.600000000000001" thickBot="1" x14ac:dyDescent="0.55000000000000004">
      <c r="A16" s="690" t="s">
        <v>218</v>
      </c>
      <c r="B16" s="697"/>
      <c r="C16" s="691"/>
      <c r="I16" s="690" t="s">
        <v>218</v>
      </c>
      <c r="J16" s="697"/>
      <c r="K16" s="691"/>
      <c r="Q16" s="690" t="s">
        <v>218</v>
      </c>
      <c r="R16" s="697"/>
      <c r="S16" s="691"/>
      <c r="Y16" s="690" t="s">
        <v>218</v>
      </c>
      <c r="Z16" s="697"/>
      <c r="AA16" s="691"/>
      <c r="AG16" s="690" t="s">
        <v>218</v>
      </c>
      <c r="AH16" s="697"/>
      <c r="AI16" s="691"/>
    </row>
    <row r="17" spans="1:40" ht="18.600000000000001" thickBot="1" x14ac:dyDescent="0.55000000000000004">
      <c r="A17" s="341"/>
      <c r="B17" s="342" t="s">
        <v>115</v>
      </c>
      <c r="C17" s="343">
        <f>SUM(D17:H17)</f>
        <v>0</v>
      </c>
      <c r="D17" s="344"/>
      <c r="E17" s="3"/>
      <c r="F17" s="3"/>
      <c r="G17" s="3"/>
      <c r="H17" s="3"/>
      <c r="I17" s="341"/>
      <c r="J17" s="342" t="s">
        <v>115</v>
      </c>
      <c r="K17" s="343">
        <f>SUM(L17:P17)</f>
        <v>0</v>
      </c>
      <c r="L17" s="344"/>
      <c r="M17" s="3"/>
      <c r="N17" s="3"/>
      <c r="O17" s="3"/>
      <c r="P17" s="3"/>
      <c r="Q17" s="341"/>
      <c r="R17" s="342" t="s">
        <v>115</v>
      </c>
      <c r="S17" s="343">
        <f>SUM(T17:X17)</f>
        <v>0</v>
      </c>
      <c r="T17" s="344"/>
      <c r="U17" s="3"/>
      <c r="V17" s="3"/>
      <c r="W17" s="3"/>
      <c r="X17" s="3"/>
      <c r="Y17" s="341"/>
      <c r="Z17" s="342" t="s">
        <v>115</v>
      </c>
      <c r="AA17" s="343">
        <f>SUM(AB17:AF17)</f>
        <v>0</v>
      </c>
      <c r="AB17" s="344"/>
      <c r="AC17" s="3"/>
      <c r="AD17" s="3"/>
      <c r="AE17" s="3"/>
      <c r="AF17" s="3"/>
      <c r="AG17" s="341"/>
      <c r="AH17" s="342" t="s">
        <v>115</v>
      </c>
      <c r="AI17" s="343">
        <f>SUM(AJ17:AN17)</f>
        <v>0</v>
      </c>
      <c r="AJ17" s="344"/>
      <c r="AK17" s="3"/>
      <c r="AL17" s="3"/>
      <c r="AM17" s="3"/>
      <c r="AN17" s="3"/>
    </row>
    <row r="18" spans="1:40" ht="18.600000000000001" thickBot="1" x14ac:dyDescent="0.55000000000000004">
      <c r="A18" s="341"/>
      <c r="B18" s="342" t="s">
        <v>115</v>
      </c>
      <c r="C18" s="343">
        <f t="shared" ref="C18:C25" si="5">SUM(D18:H18)</f>
        <v>0</v>
      </c>
      <c r="D18" s="344"/>
      <c r="E18" s="3"/>
      <c r="F18" s="3"/>
      <c r="G18" s="3"/>
      <c r="H18" s="3"/>
      <c r="I18" s="341"/>
      <c r="J18" s="342" t="s">
        <v>115</v>
      </c>
      <c r="K18" s="343">
        <f t="shared" ref="K18:K25" si="6">SUM(L18:P18)</f>
        <v>0</v>
      </c>
      <c r="L18" s="344"/>
      <c r="M18" s="3"/>
      <c r="N18" s="3"/>
      <c r="O18" s="3"/>
      <c r="P18" s="3"/>
      <c r="Q18" s="341"/>
      <c r="R18" s="342" t="s">
        <v>115</v>
      </c>
      <c r="S18" s="343">
        <f t="shared" ref="S18:S25" si="7">SUM(T18:X18)</f>
        <v>0</v>
      </c>
      <c r="T18" s="344"/>
      <c r="U18" s="3"/>
      <c r="V18" s="3"/>
      <c r="W18" s="3"/>
      <c r="X18" s="3"/>
      <c r="Y18" s="341"/>
      <c r="Z18" s="342" t="s">
        <v>115</v>
      </c>
      <c r="AA18" s="343">
        <f t="shared" ref="AA18:AA25" si="8">SUM(AB18:AF18)</f>
        <v>0</v>
      </c>
      <c r="AB18" s="344"/>
      <c r="AC18" s="3"/>
      <c r="AD18" s="3"/>
      <c r="AE18" s="3"/>
      <c r="AF18" s="3"/>
      <c r="AG18" s="341"/>
      <c r="AH18" s="342" t="s">
        <v>115</v>
      </c>
      <c r="AI18" s="343">
        <f t="shared" ref="AI18:AI25" si="9">SUM(AJ18:AN18)</f>
        <v>0</v>
      </c>
      <c r="AJ18" s="344"/>
      <c r="AK18" s="3"/>
      <c r="AL18" s="3"/>
      <c r="AM18" s="3"/>
      <c r="AN18" s="3"/>
    </row>
    <row r="19" spans="1:40" ht="18.600000000000001" thickBot="1" x14ac:dyDescent="0.55000000000000004">
      <c r="A19" s="341"/>
      <c r="B19" s="342" t="s">
        <v>115</v>
      </c>
      <c r="C19" s="343">
        <f t="shared" si="5"/>
        <v>0</v>
      </c>
      <c r="D19" s="344"/>
      <c r="E19" s="3"/>
      <c r="F19" s="3"/>
      <c r="G19" s="3"/>
      <c r="H19" s="3"/>
      <c r="I19" s="341"/>
      <c r="J19" s="342" t="s">
        <v>115</v>
      </c>
      <c r="K19" s="343">
        <f t="shared" si="6"/>
        <v>0</v>
      </c>
      <c r="L19" s="344"/>
      <c r="M19" s="3"/>
      <c r="N19" s="3"/>
      <c r="O19" s="3"/>
      <c r="P19" s="3"/>
      <c r="Q19" s="341"/>
      <c r="R19" s="342" t="s">
        <v>115</v>
      </c>
      <c r="S19" s="343">
        <f t="shared" si="7"/>
        <v>0</v>
      </c>
      <c r="T19" s="344"/>
      <c r="U19" s="3"/>
      <c r="V19" s="3"/>
      <c r="W19" s="3"/>
      <c r="X19" s="3"/>
      <c r="Y19" s="341"/>
      <c r="Z19" s="342" t="s">
        <v>115</v>
      </c>
      <c r="AA19" s="343">
        <f t="shared" si="8"/>
        <v>0</v>
      </c>
      <c r="AB19" s="344"/>
      <c r="AC19" s="3"/>
      <c r="AD19" s="3"/>
      <c r="AE19" s="3"/>
      <c r="AF19" s="3"/>
      <c r="AG19" s="341"/>
      <c r="AH19" s="342" t="s">
        <v>115</v>
      </c>
      <c r="AI19" s="343">
        <f t="shared" si="9"/>
        <v>0</v>
      </c>
      <c r="AJ19" s="344"/>
      <c r="AK19" s="3"/>
      <c r="AL19" s="3"/>
      <c r="AM19" s="3"/>
      <c r="AN19" s="3"/>
    </row>
    <row r="20" spans="1:40" ht="18.600000000000001" thickBot="1" x14ac:dyDescent="0.55000000000000004">
      <c r="A20" s="341"/>
      <c r="B20" s="342" t="s">
        <v>115</v>
      </c>
      <c r="C20" s="343">
        <f t="shared" si="5"/>
        <v>0</v>
      </c>
      <c r="D20" s="344"/>
      <c r="E20" s="3"/>
      <c r="F20" s="3"/>
      <c r="G20" s="3"/>
      <c r="H20" s="3"/>
      <c r="I20" s="341"/>
      <c r="J20" s="342" t="s">
        <v>115</v>
      </c>
      <c r="K20" s="343">
        <f t="shared" si="6"/>
        <v>0</v>
      </c>
      <c r="L20" s="344"/>
      <c r="M20" s="3"/>
      <c r="N20" s="3"/>
      <c r="O20" s="3"/>
      <c r="P20" s="3"/>
      <c r="Q20" s="341"/>
      <c r="R20" s="342" t="s">
        <v>115</v>
      </c>
      <c r="S20" s="343">
        <f t="shared" si="7"/>
        <v>0</v>
      </c>
      <c r="T20" s="344"/>
      <c r="U20" s="3"/>
      <c r="V20" s="3"/>
      <c r="W20" s="3"/>
      <c r="X20" s="3"/>
      <c r="Y20" s="341"/>
      <c r="Z20" s="342" t="s">
        <v>115</v>
      </c>
      <c r="AA20" s="343">
        <f t="shared" si="8"/>
        <v>0</v>
      </c>
      <c r="AB20" s="344"/>
      <c r="AC20" s="3"/>
      <c r="AD20" s="3"/>
      <c r="AE20" s="3"/>
      <c r="AF20" s="3"/>
      <c r="AG20" s="341"/>
      <c r="AH20" s="342" t="s">
        <v>115</v>
      </c>
      <c r="AI20" s="343">
        <f t="shared" si="9"/>
        <v>0</v>
      </c>
      <c r="AJ20" s="344"/>
      <c r="AK20" s="3"/>
      <c r="AL20" s="3"/>
      <c r="AM20" s="3"/>
      <c r="AN20" s="3"/>
    </row>
    <row r="21" spans="1:40" ht="18.600000000000001" thickBot="1" x14ac:dyDescent="0.55000000000000004">
      <c r="A21" s="341"/>
      <c r="B21" s="342" t="s">
        <v>115</v>
      </c>
      <c r="C21" s="343">
        <f t="shared" si="5"/>
        <v>0</v>
      </c>
      <c r="D21" s="344"/>
      <c r="E21" s="3"/>
      <c r="F21" s="3"/>
      <c r="G21" s="3"/>
      <c r="H21" s="3"/>
      <c r="I21" s="341"/>
      <c r="J21" s="342" t="s">
        <v>115</v>
      </c>
      <c r="K21" s="343">
        <f t="shared" si="6"/>
        <v>0</v>
      </c>
      <c r="L21" s="344"/>
      <c r="M21" s="3"/>
      <c r="N21" s="3"/>
      <c r="O21" s="3"/>
      <c r="P21" s="3"/>
      <c r="Q21" s="341"/>
      <c r="R21" s="342" t="s">
        <v>115</v>
      </c>
      <c r="S21" s="343">
        <f t="shared" si="7"/>
        <v>0</v>
      </c>
      <c r="T21" s="344"/>
      <c r="U21" s="3"/>
      <c r="V21" s="3"/>
      <c r="W21" s="3"/>
      <c r="X21" s="3"/>
      <c r="Y21" s="341"/>
      <c r="Z21" s="342" t="s">
        <v>115</v>
      </c>
      <c r="AA21" s="343">
        <f t="shared" si="8"/>
        <v>0</v>
      </c>
      <c r="AB21" s="344"/>
      <c r="AC21" s="3"/>
      <c r="AD21" s="3"/>
      <c r="AE21" s="3"/>
      <c r="AF21" s="3"/>
      <c r="AG21" s="341"/>
      <c r="AH21" s="342" t="s">
        <v>115</v>
      </c>
      <c r="AI21" s="343">
        <f t="shared" si="9"/>
        <v>0</v>
      </c>
      <c r="AJ21" s="344"/>
      <c r="AK21" s="3"/>
      <c r="AL21" s="3"/>
      <c r="AM21" s="3"/>
      <c r="AN21" s="3"/>
    </row>
    <row r="22" spans="1:40" ht="18.600000000000001" thickBot="1" x14ac:dyDescent="0.55000000000000004">
      <c r="A22" s="341"/>
      <c r="B22" s="342" t="s">
        <v>115</v>
      </c>
      <c r="C22" s="343">
        <f t="shared" si="5"/>
        <v>0</v>
      </c>
      <c r="D22" s="344"/>
      <c r="E22" s="3"/>
      <c r="F22" s="3"/>
      <c r="G22" s="3"/>
      <c r="H22" s="3"/>
      <c r="I22" s="341"/>
      <c r="J22" s="342" t="s">
        <v>115</v>
      </c>
      <c r="K22" s="343">
        <f t="shared" si="6"/>
        <v>0</v>
      </c>
      <c r="L22" s="344"/>
      <c r="M22" s="3"/>
      <c r="N22" s="3"/>
      <c r="O22" s="3"/>
      <c r="P22" s="3"/>
      <c r="Q22" s="341"/>
      <c r="R22" s="342" t="s">
        <v>115</v>
      </c>
      <c r="S22" s="343">
        <f t="shared" si="7"/>
        <v>0</v>
      </c>
      <c r="T22" s="344"/>
      <c r="U22" s="3"/>
      <c r="V22" s="3"/>
      <c r="W22" s="3"/>
      <c r="X22" s="3"/>
      <c r="Y22" s="341"/>
      <c r="Z22" s="342" t="s">
        <v>115</v>
      </c>
      <c r="AA22" s="343">
        <f t="shared" si="8"/>
        <v>0</v>
      </c>
      <c r="AB22" s="344"/>
      <c r="AC22" s="3"/>
      <c r="AD22" s="3"/>
      <c r="AE22" s="3"/>
      <c r="AF22" s="3"/>
      <c r="AG22" s="341"/>
      <c r="AH22" s="342" t="s">
        <v>115</v>
      </c>
      <c r="AI22" s="343">
        <f t="shared" si="9"/>
        <v>0</v>
      </c>
      <c r="AJ22" s="344"/>
      <c r="AK22" s="3"/>
      <c r="AL22" s="3"/>
      <c r="AM22" s="3"/>
      <c r="AN22" s="3"/>
    </row>
    <row r="23" spans="1:40" ht="18.600000000000001" thickBot="1" x14ac:dyDescent="0.55000000000000004">
      <c r="A23" s="341"/>
      <c r="B23" s="342" t="s">
        <v>115</v>
      </c>
      <c r="C23" s="343">
        <f t="shared" si="5"/>
        <v>0</v>
      </c>
      <c r="D23" s="344"/>
      <c r="E23" s="3"/>
      <c r="F23" s="3"/>
      <c r="G23" s="3"/>
      <c r="H23" s="3"/>
      <c r="I23" s="341"/>
      <c r="J23" s="342" t="s">
        <v>115</v>
      </c>
      <c r="K23" s="343">
        <f t="shared" si="6"/>
        <v>0</v>
      </c>
      <c r="L23" s="344"/>
      <c r="M23" s="3"/>
      <c r="N23" s="3"/>
      <c r="O23" s="3"/>
      <c r="P23" s="3"/>
      <c r="Q23" s="341"/>
      <c r="R23" s="342" t="s">
        <v>115</v>
      </c>
      <c r="S23" s="343">
        <f t="shared" si="7"/>
        <v>0</v>
      </c>
      <c r="T23" s="344"/>
      <c r="U23" s="3"/>
      <c r="V23" s="3"/>
      <c r="W23" s="3"/>
      <c r="X23" s="3"/>
      <c r="Y23" s="341"/>
      <c r="Z23" s="342" t="s">
        <v>115</v>
      </c>
      <c r="AA23" s="343">
        <f t="shared" si="8"/>
        <v>0</v>
      </c>
      <c r="AB23" s="344"/>
      <c r="AC23" s="3"/>
      <c r="AD23" s="3"/>
      <c r="AE23" s="3"/>
      <c r="AF23" s="3"/>
      <c r="AG23" s="341"/>
      <c r="AH23" s="342" t="s">
        <v>115</v>
      </c>
      <c r="AI23" s="343">
        <f t="shared" si="9"/>
        <v>0</v>
      </c>
      <c r="AJ23" s="344"/>
      <c r="AK23" s="3"/>
      <c r="AL23" s="3"/>
      <c r="AM23" s="3"/>
      <c r="AN23" s="3"/>
    </row>
    <row r="24" spans="1:40" ht="18.600000000000001" thickBot="1" x14ac:dyDescent="0.55000000000000004">
      <c r="A24" s="341"/>
      <c r="B24" s="342" t="s">
        <v>115</v>
      </c>
      <c r="C24" s="343">
        <f t="shared" si="5"/>
        <v>0</v>
      </c>
      <c r="D24" s="344"/>
      <c r="E24" s="3"/>
      <c r="F24" s="3"/>
      <c r="G24" s="3"/>
      <c r="H24" s="3"/>
      <c r="I24" s="341"/>
      <c r="J24" s="342" t="s">
        <v>115</v>
      </c>
      <c r="K24" s="343">
        <f t="shared" si="6"/>
        <v>0</v>
      </c>
      <c r="L24" s="344"/>
      <c r="M24" s="3"/>
      <c r="N24" s="3"/>
      <c r="O24" s="3"/>
      <c r="P24" s="3"/>
      <c r="Q24" s="341"/>
      <c r="R24" s="342" t="s">
        <v>115</v>
      </c>
      <c r="S24" s="343">
        <f t="shared" si="7"/>
        <v>0</v>
      </c>
      <c r="T24" s="344"/>
      <c r="U24" s="3"/>
      <c r="V24" s="3"/>
      <c r="W24" s="3"/>
      <c r="X24" s="3"/>
      <c r="Y24" s="341"/>
      <c r="Z24" s="342" t="s">
        <v>115</v>
      </c>
      <c r="AA24" s="343">
        <f t="shared" si="8"/>
        <v>0</v>
      </c>
      <c r="AB24" s="344"/>
      <c r="AC24" s="3"/>
      <c r="AD24" s="3"/>
      <c r="AE24" s="3"/>
      <c r="AF24" s="3"/>
      <c r="AG24" s="341"/>
      <c r="AH24" s="342" t="s">
        <v>115</v>
      </c>
      <c r="AI24" s="343">
        <f t="shared" si="9"/>
        <v>0</v>
      </c>
      <c r="AJ24" s="344"/>
      <c r="AK24" s="3"/>
      <c r="AL24" s="3"/>
      <c r="AM24" s="3"/>
      <c r="AN24" s="3"/>
    </row>
    <row r="25" spans="1:40" ht="18.600000000000001" thickBot="1" x14ac:dyDescent="0.55000000000000004">
      <c r="A25" s="341"/>
      <c r="B25" s="342" t="s">
        <v>115</v>
      </c>
      <c r="C25" s="343">
        <f t="shared" si="5"/>
        <v>0</v>
      </c>
      <c r="D25" s="344"/>
      <c r="E25" s="3"/>
      <c r="F25" s="3"/>
      <c r="G25" s="3"/>
      <c r="H25" s="3"/>
      <c r="I25" s="341"/>
      <c r="J25" s="342" t="s">
        <v>115</v>
      </c>
      <c r="K25" s="343">
        <f t="shared" si="6"/>
        <v>0</v>
      </c>
      <c r="L25" s="344"/>
      <c r="M25" s="3"/>
      <c r="N25" s="3"/>
      <c r="O25" s="3"/>
      <c r="P25" s="3"/>
      <c r="Q25" s="341"/>
      <c r="R25" s="342" t="s">
        <v>115</v>
      </c>
      <c r="S25" s="343">
        <f t="shared" si="7"/>
        <v>0</v>
      </c>
      <c r="T25" s="344"/>
      <c r="U25" s="3"/>
      <c r="V25" s="3"/>
      <c r="W25" s="3"/>
      <c r="X25" s="3"/>
      <c r="Y25" s="341"/>
      <c r="Z25" s="342" t="s">
        <v>115</v>
      </c>
      <c r="AA25" s="343">
        <f t="shared" si="8"/>
        <v>0</v>
      </c>
      <c r="AB25" s="344"/>
      <c r="AC25" s="3"/>
      <c r="AD25" s="3"/>
      <c r="AE25" s="3"/>
      <c r="AF25" s="3"/>
      <c r="AG25" s="341"/>
      <c r="AH25" s="342" t="s">
        <v>115</v>
      </c>
      <c r="AI25" s="343">
        <f t="shared" si="9"/>
        <v>0</v>
      </c>
      <c r="AJ25" s="344"/>
      <c r="AK25" s="3"/>
      <c r="AL25" s="3"/>
      <c r="AM25" s="3"/>
      <c r="AN25" s="3"/>
    </row>
    <row r="26" spans="1:40" ht="18.600000000000001" thickBot="1" x14ac:dyDescent="0.55000000000000004">
      <c r="A26" s="690" t="s">
        <v>66</v>
      </c>
      <c r="B26" s="691"/>
      <c r="C26" s="345">
        <f>SUM(C17:C25)</f>
        <v>0</v>
      </c>
      <c r="I26" s="690" t="s">
        <v>66</v>
      </c>
      <c r="J26" s="691"/>
      <c r="K26" s="345">
        <f>SUM(K17:K25)</f>
        <v>0</v>
      </c>
      <c r="Q26" s="690" t="s">
        <v>66</v>
      </c>
      <c r="R26" s="691"/>
      <c r="S26" s="345">
        <f>SUM(S17:S25)</f>
        <v>0</v>
      </c>
      <c r="Y26" s="690" t="s">
        <v>66</v>
      </c>
      <c r="Z26" s="691"/>
      <c r="AA26" s="345">
        <f>SUM(AA17:AA25)</f>
        <v>0</v>
      </c>
      <c r="AG26" s="690" t="s">
        <v>66</v>
      </c>
      <c r="AH26" s="691"/>
      <c r="AI26" s="345">
        <f>SUM(AI17:AI25)</f>
        <v>0</v>
      </c>
    </row>
    <row r="27" spans="1:40" ht="18.600000000000001" thickBot="1" x14ac:dyDescent="0.55000000000000004"/>
    <row r="28" spans="1:40" ht="18.600000000000001" thickBot="1" x14ac:dyDescent="0.55000000000000004">
      <c r="A28" s="690" t="s">
        <v>219</v>
      </c>
      <c r="B28" s="691"/>
      <c r="C28" s="345">
        <f>C26-C14</f>
        <v>0</v>
      </c>
      <c r="I28" s="690" t="s">
        <v>219</v>
      </c>
      <c r="J28" s="691"/>
      <c r="K28" s="345">
        <f>K26-K14</f>
        <v>0</v>
      </c>
      <c r="Q28" s="690" t="s">
        <v>219</v>
      </c>
      <c r="R28" s="691"/>
      <c r="S28" s="345">
        <f>S26-S14</f>
        <v>0</v>
      </c>
      <c r="Y28" s="690" t="s">
        <v>219</v>
      </c>
      <c r="Z28" s="691"/>
      <c r="AA28" s="345">
        <f>AA26-AA14</f>
        <v>0</v>
      </c>
      <c r="AG28" s="690" t="s">
        <v>219</v>
      </c>
      <c r="AH28" s="691"/>
      <c r="AI28" s="345">
        <f>AI26-AI14</f>
        <v>0</v>
      </c>
    </row>
  </sheetData>
  <mergeCells count="35">
    <mergeCell ref="A28:B28"/>
    <mergeCell ref="I2:J2"/>
    <mergeCell ref="K2:P2"/>
    <mergeCell ref="I5:K5"/>
    <mergeCell ref="I14:J14"/>
    <mergeCell ref="I16:K16"/>
    <mergeCell ref="I26:J26"/>
    <mergeCell ref="I28:J28"/>
    <mergeCell ref="A2:B2"/>
    <mergeCell ref="C2:H2"/>
    <mergeCell ref="A5:C5"/>
    <mergeCell ref="A14:B14"/>
    <mergeCell ref="A16:C16"/>
    <mergeCell ref="A26:B26"/>
    <mergeCell ref="Q28:R28"/>
    <mergeCell ref="Y2:Z2"/>
    <mergeCell ref="AA2:AF2"/>
    <mergeCell ref="Y5:AA5"/>
    <mergeCell ref="Y14:Z14"/>
    <mergeCell ref="Y16:AA16"/>
    <mergeCell ref="Y26:Z26"/>
    <mergeCell ref="Y28:Z28"/>
    <mergeCell ref="Q2:R2"/>
    <mergeCell ref="S2:X2"/>
    <mergeCell ref="Q5:S5"/>
    <mergeCell ref="Q14:R14"/>
    <mergeCell ref="Q16:S16"/>
    <mergeCell ref="Q26:R26"/>
    <mergeCell ref="AG28:AH28"/>
    <mergeCell ref="AG2:AH2"/>
    <mergeCell ref="AI2:AN2"/>
    <mergeCell ref="AG5:AI5"/>
    <mergeCell ref="AG14:AH14"/>
    <mergeCell ref="AG16:AI16"/>
    <mergeCell ref="AG26:AH2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1A7CF-F859-45D1-A75E-60B3EC13AF1C}">
  <sheetPr>
    <tabColor rgb="FF92D050"/>
  </sheetPr>
  <dimension ref="A1:BL37"/>
  <sheetViews>
    <sheetView showGridLines="0" showRuler="0" showWhiteSpace="0" view="pageLayout" topLeftCell="AU2" zoomScale="90" zoomScaleNormal="80" zoomScalePageLayoutView="90" workbookViewId="0">
      <selection activeCell="BL45" sqref="BL45"/>
    </sheetView>
  </sheetViews>
  <sheetFormatPr baseColWidth="10" defaultColWidth="11" defaultRowHeight="18" x14ac:dyDescent="0.5"/>
  <cols>
    <col min="4" max="4" width="10.6640625" customWidth="1"/>
    <col min="5" max="5" width="12" customWidth="1"/>
    <col min="6" max="7" width="8.6640625" customWidth="1"/>
    <col min="8" max="8" width="11.88671875" customWidth="1"/>
    <col min="12" max="12" width="10.6640625" customWidth="1"/>
    <col min="13" max="13" width="12" customWidth="1"/>
    <col min="14" max="15" width="8.6640625" customWidth="1"/>
    <col min="16" max="16" width="11.88671875" customWidth="1"/>
    <col min="20" max="20" width="10.6640625" customWidth="1"/>
    <col min="21" max="21" width="12" customWidth="1"/>
    <col min="22" max="23" width="8.6640625" customWidth="1"/>
    <col min="24" max="24" width="11.88671875" customWidth="1"/>
    <col min="28" max="28" width="10.6640625" customWidth="1"/>
    <col min="29" max="29" width="12" customWidth="1"/>
    <col min="30" max="31" width="8.6640625" customWidth="1"/>
    <col min="32" max="32" width="11.88671875" customWidth="1"/>
    <col min="36" max="36" width="10.6640625" customWidth="1"/>
    <col min="37" max="37" width="12" customWidth="1"/>
    <col min="38" max="39" width="8.6640625" customWidth="1"/>
    <col min="40" max="40" width="11.88671875" customWidth="1"/>
    <col min="44" max="44" width="10.6640625" customWidth="1"/>
    <col min="45" max="45" width="12" customWidth="1"/>
    <col min="46" max="47" width="8.6640625" customWidth="1"/>
    <col min="48" max="48" width="11.88671875" customWidth="1"/>
    <col min="52" max="52" width="10.6640625" customWidth="1"/>
    <col min="53" max="53" width="12" customWidth="1"/>
    <col min="54" max="55" width="8.6640625" customWidth="1"/>
    <col min="56" max="56" width="11.88671875" customWidth="1"/>
    <col min="60" max="60" width="10.6640625" customWidth="1"/>
    <col min="61" max="61" width="12" customWidth="1"/>
    <col min="62" max="63" width="8.6640625" customWidth="1"/>
    <col min="64" max="64" width="11.88671875" customWidth="1"/>
    <col min="68" max="68" width="10.6640625" customWidth="1"/>
    <col min="69" max="69" width="12" customWidth="1"/>
    <col min="70" max="71" width="8.6640625" customWidth="1"/>
    <col min="72" max="72" width="11.88671875" customWidth="1"/>
    <col min="76" max="76" width="10.6640625" customWidth="1"/>
    <col min="77" max="77" width="12" customWidth="1"/>
    <col min="78" max="79" width="8.6640625" customWidth="1"/>
    <col min="80" max="80" width="11.88671875" customWidth="1"/>
  </cols>
  <sheetData>
    <row r="1" spans="1:64" ht="18.600000000000001" thickBot="1" x14ac:dyDescent="0.55000000000000004"/>
    <row r="2" spans="1:64" ht="18.600000000000001" thickBot="1" x14ac:dyDescent="0.55000000000000004">
      <c r="A2" s="726" t="s">
        <v>220</v>
      </c>
      <c r="B2" s="727"/>
      <c r="C2" s="728"/>
      <c r="D2" s="729"/>
      <c r="E2" s="729"/>
      <c r="F2" s="729"/>
      <c r="G2" s="729"/>
      <c r="H2" s="730"/>
      <c r="I2" s="726" t="s">
        <v>220</v>
      </c>
      <c r="J2" s="727"/>
      <c r="K2" s="728"/>
      <c r="L2" s="729"/>
      <c r="M2" s="729"/>
      <c r="N2" s="729"/>
      <c r="O2" s="729"/>
      <c r="P2" s="730"/>
      <c r="Q2" s="726" t="s">
        <v>220</v>
      </c>
      <c r="R2" s="727"/>
      <c r="S2" s="728"/>
      <c r="T2" s="729"/>
      <c r="U2" s="729"/>
      <c r="V2" s="729"/>
      <c r="W2" s="729"/>
      <c r="X2" s="730"/>
      <c r="Y2" s="726" t="s">
        <v>220</v>
      </c>
      <c r="Z2" s="727"/>
      <c r="AA2" s="728"/>
      <c r="AB2" s="729"/>
      <c r="AC2" s="729"/>
      <c r="AD2" s="729"/>
      <c r="AE2" s="729"/>
      <c r="AF2" s="730"/>
      <c r="AG2" s="726" t="s">
        <v>220</v>
      </c>
      <c r="AH2" s="727"/>
      <c r="AI2" s="728"/>
      <c r="AJ2" s="729"/>
      <c r="AK2" s="729"/>
      <c r="AL2" s="729"/>
      <c r="AM2" s="729"/>
      <c r="AN2" s="730"/>
      <c r="AO2" s="726" t="s">
        <v>220</v>
      </c>
      <c r="AP2" s="727"/>
      <c r="AQ2" s="728"/>
      <c r="AR2" s="729"/>
      <c r="AS2" s="729"/>
      <c r="AT2" s="729"/>
      <c r="AU2" s="729"/>
      <c r="AV2" s="730"/>
      <c r="AW2" s="726" t="s">
        <v>220</v>
      </c>
      <c r="AX2" s="727"/>
      <c r="AY2" s="728"/>
      <c r="AZ2" s="729"/>
      <c r="BA2" s="729"/>
      <c r="BB2" s="729"/>
      <c r="BC2" s="729"/>
      <c r="BD2" s="730"/>
      <c r="BE2" s="726" t="s">
        <v>220</v>
      </c>
      <c r="BF2" s="727"/>
      <c r="BG2" s="728"/>
      <c r="BH2" s="729"/>
      <c r="BI2" s="729"/>
      <c r="BJ2" s="729"/>
      <c r="BK2" s="729"/>
      <c r="BL2" s="730"/>
    </row>
    <row r="3" spans="1:64" ht="18.600000000000001" thickBot="1" x14ac:dyDescent="0.55000000000000004">
      <c r="A3" s="329" t="s">
        <v>221</v>
      </c>
      <c r="B3" s="180"/>
      <c r="C3" s="731" t="s">
        <v>222</v>
      </c>
      <c r="D3" s="732"/>
      <c r="E3" s="108">
        <f>D27+D28+D29</f>
        <v>0</v>
      </c>
      <c r="F3" s="733" t="s">
        <v>223</v>
      </c>
      <c r="G3" s="734"/>
      <c r="H3" s="336">
        <f>IF(B3=0,0,(E3*10)/B3)</f>
        <v>0</v>
      </c>
      <c r="I3" s="329" t="s">
        <v>221</v>
      </c>
      <c r="J3" s="180"/>
      <c r="K3" s="731" t="s">
        <v>222</v>
      </c>
      <c r="L3" s="732"/>
      <c r="M3" s="108">
        <f>L27+L28+L29</f>
        <v>0</v>
      </c>
      <c r="N3" s="733" t="s">
        <v>223</v>
      </c>
      <c r="O3" s="734"/>
      <c r="P3" s="336">
        <f>IF(J3=0,0,(M3*10)/J3)</f>
        <v>0</v>
      </c>
      <c r="Q3" s="329" t="s">
        <v>221</v>
      </c>
      <c r="R3" s="180"/>
      <c r="S3" s="731" t="s">
        <v>222</v>
      </c>
      <c r="T3" s="732"/>
      <c r="U3" s="108">
        <f>T27+T28+T29</f>
        <v>0</v>
      </c>
      <c r="V3" s="733" t="s">
        <v>223</v>
      </c>
      <c r="W3" s="734"/>
      <c r="X3" s="336">
        <f>IF(R3=0,0,(U3*10)/R3)</f>
        <v>0</v>
      </c>
      <c r="Y3" s="329" t="s">
        <v>221</v>
      </c>
      <c r="Z3" s="180"/>
      <c r="AA3" s="731" t="s">
        <v>222</v>
      </c>
      <c r="AB3" s="732"/>
      <c r="AC3" s="108">
        <f>AB27+AB28+AB29</f>
        <v>0</v>
      </c>
      <c r="AD3" s="733" t="s">
        <v>223</v>
      </c>
      <c r="AE3" s="734"/>
      <c r="AF3" s="336">
        <f>IF(Z3=0,0,(AC3*10)/Z3)</f>
        <v>0</v>
      </c>
      <c r="AG3" s="329" t="s">
        <v>221</v>
      </c>
      <c r="AH3" s="180"/>
      <c r="AI3" s="731" t="s">
        <v>222</v>
      </c>
      <c r="AJ3" s="732"/>
      <c r="AK3" s="108">
        <f>AJ27+AJ28+AJ29</f>
        <v>0</v>
      </c>
      <c r="AL3" s="733" t="s">
        <v>223</v>
      </c>
      <c r="AM3" s="734"/>
      <c r="AN3" s="336">
        <f>IF(AH3=0,0,(AK3*10)/AH3)</f>
        <v>0</v>
      </c>
      <c r="AO3" s="329" t="s">
        <v>221</v>
      </c>
      <c r="AP3" s="180"/>
      <c r="AQ3" s="731" t="s">
        <v>222</v>
      </c>
      <c r="AR3" s="732"/>
      <c r="AS3" s="108">
        <f>AR27+AR28+AR29</f>
        <v>0</v>
      </c>
      <c r="AT3" s="733" t="s">
        <v>223</v>
      </c>
      <c r="AU3" s="734"/>
      <c r="AV3" s="336">
        <f>IF(AP3=0,0,(AS3*10)/AP3)</f>
        <v>0</v>
      </c>
      <c r="AW3" s="329" t="s">
        <v>221</v>
      </c>
      <c r="AX3" s="180"/>
      <c r="AY3" s="731" t="s">
        <v>222</v>
      </c>
      <c r="AZ3" s="732"/>
      <c r="BA3" s="108">
        <f>AZ27+AZ28+AZ29</f>
        <v>0</v>
      </c>
      <c r="BB3" s="733" t="s">
        <v>223</v>
      </c>
      <c r="BC3" s="734"/>
      <c r="BD3" s="336">
        <f>IF(AX3=0,0,(BA3*10)/AX3)</f>
        <v>0</v>
      </c>
      <c r="BE3" s="329" t="s">
        <v>221</v>
      </c>
      <c r="BF3" s="180"/>
      <c r="BG3" s="731" t="s">
        <v>222</v>
      </c>
      <c r="BH3" s="732"/>
      <c r="BI3" s="108">
        <f>BH27+BH28+BH29</f>
        <v>0</v>
      </c>
      <c r="BJ3" s="733" t="s">
        <v>223</v>
      </c>
      <c r="BK3" s="734"/>
      <c r="BL3" s="336">
        <f>IF(BF3=0,0,(BI3*10)/BF3)</f>
        <v>0</v>
      </c>
    </row>
    <row r="4" spans="1:64" ht="18.600000000000001" thickBot="1" x14ac:dyDescent="0.55000000000000004">
      <c r="A4" s="68"/>
      <c r="C4" s="77"/>
      <c r="D4" s="77"/>
      <c r="F4" s="61"/>
      <c r="G4" s="61"/>
      <c r="H4" s="327"/>
      <c r="I4" s="68"/>
      <c r="K4" s="77"/>
      <c r="L4" s="77"/>
      <c r="N4" s="61"/>
      <c r="O4" s="61"/>
      <c r="P4" s="327"/>
      <c r="Q4" s="68"/>
      <c r="S4" s="77"/>
      <c r="T4" s="77"/>
      <c r="V4" s="61"/>
      <c r="W4" s="61"/>
      <c r="X4" s="327"/>
      <c r="Y4" s="68"/>
      <c r="AA4" s="77"/>
      <c r="AB4" s="77"/>
      <c r="AD4" s="61"/>
      <c r="AE4" s="61"/>
      <c r="AF4" s="327"/>
      <c r="AG4" s="68"/>
      <c r="AI4" s="77"/>
      <c r="AJ4" s="77"/>
      <c r="AL4" s="61"/>
      <c r="AM4" s="61"/>
      <c r="AN4" s="327"/>
      <c r="AO4" s="68"/>
      <c r="AQ4" s="77"/>
      <c r="AR4" s="77"/>
      <c r="AT4" s="61"/>
      <c r="AU4" s="61"/>
      <c r="AV4" s="327"/>
      <c r="AW4" s="68"/>
      <c r="AY4" s="77"/>
      <c r="AZ4" s="77"/>
      <c r="BB4" s="61"/>
      <c r="BC4" s="61"/>
      <c r="BD4" s="327"/>
      <c r="BE4" s="68"/>
      <c r="BG4" s="77"/>
      <c r="BH4" s="77"/>
      <c r="BJ4" s="61"/>
      <c r="BK4" s="61"/>
      <c r="BL4" s="327"/>
    </row>
    <row r="5" spans="1:64" ht="18.600000000000001" thickBot="1" x14ac:dyDescent="0.55000000000000004">
      <c r="A5" s="735" t="s">
        <v>224</v>
      </c>
      <c r="B5" s="736"/>
      <c r="C5" s="736"/>
      <c r="D5" s="330" t="s">
        <v>225</v>
      </c>
      <c r="E5" s="331" t="s">
        <v>226</v>
      </c>
      <c r="F5" s="736" t="s">
        <v>66</v>
      </c>
      <c r="G5" s="736"/>
      <c r="H5" s="332" t="s">
        <v>227</v>
      </c>
      <c r="I5" s="735" t="s">
        <v>224</v>
      </c>
      <c r="J5" s="736"/>
      <c r="K5" s="736"/>
      <c r="L5" s="330" t="s">
        <v>225</v>
      </c>
      <c r="M5" s="331" t="s">
        <v>226</v>
      </c>
      <c r="N5" s="736" t="s">
        <v>66</v>
      </c>
      <c r="O5" s="736"/>
      <c r="P5" s="332" t="s">
        <v>227</v>
      </c>
      <c r="Q5" s="735" t="s">
        <v>224</v>
      </c>
      <c r="R5" s="736"/>
      <c r="S5" s="736"/>
      <c r="T5" s="330" t="s">
        <v>225</v>
      </c>
      <c r="U5" s="331" t="s">
        <v>226</v>
      </c>
      <c r="V5" s="736" t="s">
        <v>66</v>
      </c>
      <c r="W5" s="736"/>
      <c r="X5" s="332" t="s">
        <v>227</v>
      </c>
      <c r="Y5" s="735" t="s">
        <v>224</v>
      </c>
      <c r="Z5" s="736"/>
      <c r="AA5" s="736"/>
      <c r="AB5" s="330" t="s">
        <v>225</v>
      </c>
      <c r="AC5" s="331" t="s">
        <v>226</v>
      </c>
      <c r="AD5" s="736" t="s">
        <v>66</v>
      </c>
      <c r="AE5" s="736"/>
      <c r="AF5" s="332" t="s">
        <v>227</v>
      </c>
      <c r="AG5" s="735" t="s">
        <v>224</v>
      </c>
      <c r="AH5" s="736"/>
      <c r="AI5" s="736"/>
      <c r="AJ5" s="330" t="s">
        <v>225</v>
      </c>
      <c r="AK5" s="331" t="s">
        <v>226</v>
      </c>
      <c r="AL5" s="736" t="s">
        <v>66</v>
      </c>
      <c r="AM5" s="736"/>
      <c r="AN5" s="332" t="s">
        <v>227</v>
      </c>
      <c r="AO5" s="735" t="s">
        <v>224</v>
      </c>
      <c r="AP5" s="736"/>
      <c r="AQ5" s="736"/>
      <c r="AR5" s="330" t="s">
        <v>225</v>
      </c>
      <c r="AS5" s="331" t="s">
        <v>226</v>
      </c>
      <c r="AT5" s="736" t="s">
        <v>66</v>
      </c>
      <c r="AU5" s="736"/>
      <c r="AV5" s="332" t="s">
        <v>227</v>
      </c>
      <c r="AW5" s="735" t="s">
        <v>224</v>
      </c>
      <c r="AX5" s="736"/>
      <c r="AY5" s="736"/>
      <c r="AZ5" s="330" t="s">
        <v>225</v>
      </c>
      <c r="BA5" s="331" t="s">
        <v>226</v>
      </c>
      <c r="BB5" s="736" t="s">
        <v>66</v>
      </c>
      <c r="BC5" s="736"/>
      <c r="BD5" s="332" t="s">
        <v>227</v>
      </c>
      <c r="BE5" s="735" t="s">
        <v>224</v>
      </c>
      <c r="BF5" s="736"/>
      <c r="BG5" s="736"/>
      <c r="BH5" s="330" t="s">
        <v>225</v>
      </c>
      <c r="BI5" s="331" t="s">
        <v>226</v>
      </c>
      <c r="BJ5" s="736" t="s">
        <v>66</v>
      </c>
      <c r="BK5" s="736"/>
      <c r="BL5" s="332" t="s">
        <v>227</v>
      </c>
    </row>
    <row r="6" spans="1:64" x14ac:dyDescent="0.5">
      <c r="A6" s="714" t="s">
        <v>228</v>
      </c>
      <c r="B6" s="715"/>
      <c r="C6" s="715"/>
      <c r="D6" s="715"/>
      <c r="E6" s="715"/>
      <c r="F6" s="716">
        <f>F7+F8+F9</f>
        <v>0</v>
      </c>
      <c r="G6" s="716"/>
      <c r="H6" s="99" t="str">
        <f>IF(B$3=0,"",F6/B$3)</f>
        <v/>
      </c>
      <c r="I6" s="714" t="s">
        <v>228</v>
      </c>
      <c r="J6" s="715"/>
      <c r="K6" s="715"/>
      <c r="L6" s="715"/>
      <c r="M6" s="715"/>
      <c r="N6" s="716">
        <f>N7+N8+N9</f>
        <v>0</v>
      </c>
      <c r="O6" s="716"/>
      <c r="P6" s="99" t="str">
        <f>IF(J$3=0,"",N6/J$3)</f>
        <v/>
      </c>
      <c r="Q6" s="714" t="s">
        <v>228</v>
      </c>
      <c r="R6" s="715"/>
      <c r="S6" s="715"/>
      <c r="T6" s="715"/>
      <c r="U6" s="715"/>
      <c r="V6" s="716">
        <f>V7+V8+V9</f>
        <v>0</v>
      </c>
      <c r="W6" s="716"/>
      <c r="X6" s="99" t="str">
        <f>IF(R$3=0,"",V6/R$3)</f>
        <v/>
      </c>
      <c r="Y6" s="714" t="s">
        <v>228</v>
      </c>
      <c r="Z6" s="715"/>
      <c r="AA6" s="715"/>
      <c r="AB6" s="715"/>
      <c r="AC6" s="715"/>
      <c r="AD6" s="716">
        <f>AD7+AD8+AD9</f>
        <v>0</v>
      </c>
      <c r="AE6" s="716"/>
      <c r="AF6" s="99" t="str">
        <f>IF(Z$3=0,"",AD6/Z$3)</f>
        <v/>
      </c>
      <c r="AG6" s="714" t="s">
        <v>228</v>
      </c>
      <c r="AH6" s="715"/>
      <c r="AI6" s="715"/>
      <c r="AJ6" s="715"/>
      <c r="AK6" s="715"/>
      <c r="AL6" s="716">
        <f>AL7+AL8+AL9</f>
        <v>0</v>
      </c>
      <c r="AM6" s="716"/>
      <c r="AN6" s="99" t="str">
        <f>IF(AH$3=0,"",AL6/AH$3)</f>
        <v/>
      </c>
      <c r="AO6" s="714" t="s">
        <v>228</v>
      </c>
      <c r="AP6" s="715"/>
      <c r="AQ6" s="715"/>
      <c r="AR6" s="715"/>
      <c r="AS6" s="715"/>
      <c r="AT6" s="716">
        <f>AT7+AT8+AT9</f>
        <v>0</v>
      </c>
      <c r="AU6" s="716"/>
      <c r="AV6" s="99" t="str">
        <f>IF(AP$3=0,"",AT6/AP$3)</f>
        <v/>
      </c>
      <c r="AW6" s="714" t="s">
        <v>228</v>
      </c>
      <c r="AX6" s="715"/>
      <c r="AY6" s="715"/>
      <c r="AZ6" s="715"/>
      <c r="BA6" s="715"/>
      <c r="BB6" s="716">
        <f>BB7+BB8+BB9</f>
        <v>0</v>
      </c>
      <c r="BC6" s="716"/>
      <c r="BD6" s="99" t="str">
        <f>IF(AX$3=0,"",BB6/AX$3)</f>
        <v/>
      </c>
      <c r="BE6" s="714" t="s">
        <v>228</v>
      </c>
      <c r="BF6" s="715"/>
      <c r="BG6" s="715"/>
      <c r="BH6" s="715"/>
      <c r="BI6" s="715"/>
      <c r="BJ6" s="716">
        <f>BJ7+BJ8+BJ9</f>
        <v>0</v>
      </c>
      <c r="BK6" s="716"/>
      <c r="BL6" s="99" t="str">
        <f>IF(BF$3=0,"",BJ6/BF$3)</f>
        <v/>
      </c>
    </row>
    <row r="7" spans="1:64" x14ac:dyDescent="0.5">
      <c r="A7" s="701" t="s">
        <v>229</v>
      </c>
      <c r="B7" s="702"/>
      <c r="C7" s="702"/>
      <c r="D7" s="322"/>
      <c r="E7" s="339" t="str">
        <f>IF(D7=0,"",F7/D7)</f>
        <v/>
      </c>
      <c r="F7" s="713"/>
      <c r="G7" s="713"/>
      <c r="H7" s="337" t="str">
        <f t="shared" ref="H7:H23" si="0">IF(B$3=0,"",F7/B$3)</f>
        <v/>
      </c>
      <c r="I7" s="701" t="s">
        <v>229</v>
      </c>
      <c r="J7" s="702"/>
      <c r="K7" s="702"/>
      <c r="L7" s="322"/>
      <c r="M7" s="339" t="str">
        <f>IF(L7=0,"",N7/L7)</f>
        <v/>
      </c>
      <c r="N7" s="713"/>
      <c r="O7" s="713"/>
      <c r="P7" s="337" t="str">
        <f t="shared" ref="P7:P23" si="1">IF(J$3=0,"",N7/J$3)</f>
        <v/>
      </c>
      <c r="Q7" s="701" t="s">
        <v>229</v>
      </c>
      <c r="R7" s="702"/>
      <c r="S7" s="702"/>
      <c r="T7" s="322"/>
      <c r="U7" s="339" t="str">
        <f>IF(T7=0,"",V7/T7)</f>
        <v/>
      </c>
      <c r="V7" s="713"/>
      <c r="W7" s="713"/>
      <c r="X7" s="337" t="str">
        <f t="shared" ref="X7:X23" si="2">IF(R$3=0,"",V7/R$3)</f>
        <v/>
      </c>
      <c r="Y7" s="701" t="s">
        <v>229</v>
      </c>
      <c r="Z7" s="702"/>
      <c r="AA7" s="702"/>
      <c r="AB7" s="322"/>
      <c r="AC7" s="339" t="str">
        <f>IF(AB7=0,"",AD7/AB7)</f>
        <v/>
      </c>
      <c r="AD7" s="713"/>
      <c r="AE7" s="713"/>
      <c r="AF7" s="337" t="str">
        <f t="shared" ref="AF7:AF23" si="3">IF(Z$3=0,"",AD7/Z$3)</f>
        <v/>
      </c>
      <c r="AG7" s="701" t="s">
        <v>229</v>
      </c>
      <c r="AH7" s="702"/>
      <c r="AI7" s="702"/>
      <c r="AJ7" s="322"/>
      <c r="AK7" s="339" t="str">
        <f>IF(AJ7=0,"",AL7/AJ7)</f>
        <v/>
      </c>
      <c r="AL7" s="713"/>
      <c r="AM7" s="713"/>
      <c r="AN7" s="337" t="str">
        <f t="shared" ref="AN7:AN23" si="4">IF(AH$3=0,"",AL7/AH$3)</f>
        <v/>
      </c>
      <c r="AO7" s="701" t="s">
        <v>229</v>
      </c>
      <c r="AP7" s="702"/>
      <c r="AQ7" s="702"/>
      <c r="AR7" s="322"/>
      <c r="AS7" s="339" t="str">
        <f>IF(AR7=0,"",AT7/AR7)</f>
        <v/>
      </c>
      <c r="AT7" s="713"/>
      <c r="AU7" s="713"/>
      <c r="AV7" s="337" t="str">
        <f t="shared" ref="AV7:AV23" si="5">IF(AP$3=0,"",AT7/AP$3)</f>
        <v/>
      </c>
      <c r="AW7" s="701" t="s">
        <v>229</v>
      </c>
      <c r="AX7" s="702"/>
      <c r="AY7" s="702"/>
      <c r="AZ7" s="322"/>
      <c r="BA7" s="339" t="str">
        <f>IF(AZ7=0,"",BB7/AZ7)</f>
        <v/>
      </c>
      <c r="BB7" s="713"/>
      <c r="BC7" s="713"/>
      <c r="BD7" s="337" t="str">
        <f t="shared" ref="BD7:BD23" si="6">IF(AX$3=0,"",BB7/AX$3)</f>
        <v/>
      </c>
      <c r="BE7" s="701" t="s">
        <v>229</v>
      </c>
      <c r="BF7" s="702"/>
      <c r="BG7" s="702"/>
      <c r="BH7" s="322"/>
      <c r="BI7" s="339" t="str">
        <f>IF(BH7=0,"",BJ7/BH7)</f>
        <v/>
      </c>
      <c r="BJ7" s="713"/>
      <c r="BK7" s="713"/>
      <c r="BL7" s="337" t="str">
        <f t="shared" ref="BL7:BL23" si="7">IF(BF$3=0,"",BJ7/BF$3)</f>
        <v/>
      </c>
    </row>
    <row r="8" spans="1:64" x14ac:dyDescent="0.5">
      <c r="A8" s="701" t="s">
        <v>230</v>
      </c>
      <c r="B8" s="702"/>
      <c r="C8" s="702"/>
      <c r="D8" s="322"/>
      <c r="E8" s="339" t="str">
        <f>IF(D8=0,"",F8/D8)</f>
        <v/>
      </c>
      <c r="F8" s="713"/>
      <c r="G8" s="713"/>
      <c r="H8" s="337" t="str">
        <f t="shared" si="0"/>
        <v/>
      </c>
      <c r="I8" s="701" t="s">
        <v>230</v>
      </c>
      <c r="J8" s="702"/>
      <c r="K8" s="702"/>
      <c r="L8" s="322"/>
      <c r="M8" s="339" t="str">
        <f>IF(L8=0,"",N8/L8)</f>
        <v/>
      </c>
      <c r="N8" s="713"/>
      <c r="O8" s="713"/>
      <c r="P8" s="337" t="str">
        <f t="shared" si="1"/>
        <v/>
      </c>
      <c r="Q8" s="701" t="s">
        <v>230</v>
      </c>
      <c r="R8" s="702"/>
      <c r="S8" s="702"/>
      <c r="T8" s="322"/>
      <c r="U8" s="339" t="str">
        <f>IF(T8=0,"",V8/T8)</f>
        <v/>
      </c>
      <c r="V8" s="713"/>
      <c r="W8" s="713"/>
      <c r="X8" s="337" t="str">
        <f t="shared" si="2"/>
        <v/>
      </c>
      <c r="Y8" s="701" t="s">
        <v>230</v>
      </c>
      <c r="Z8" s="702"/>
      <c r="AA8" s="702"/>
      <c r="AB8" s="322"/>
      <c r="AC8" s="339" t="str">
        <f>IF(AB8=0,"",AD8/AB8)</f>
        <v/>
      </c>
      <c r="AD8" s="713"/>
      <c r="AE8" s="713"/>
      <c r="AF8" s="337" t="str">
        <f t="shared" si="3"/>
        <v/>
      </c>
      <c r="AG8" s="701" t="s">
        <v>230</v>
      </c>
      <c r="AH8" s="702"/>
      <c r="AI8" s="702"/>
      <c r="AJ8" s="322"/>
      <c r="AK8" s="339" t="str">
        <f>IF(AJ8=0,"",AL8/AJ8)</f>
        <v/>
      </c>
      <c r="AL8" s="713"/>
      <c r="AM8" s="713"/>
      <c r="AN8" s="337" t="str">
        <f t="shared" si="4"/>
        <v/>
      </c>
      <c r="AO8" s="701" t="s">
        <v>230</v>
      </c>
      <c r="AP8" s="702"/>
      <c r="AQ8" s="702"/>
      <c r="AR8" s="322"/>
      <c r="AS8" s="339" t="str">
        <f>IF(AR8=0,"",AT8/AR8)</f>
        <v/>
      </c>
      <c r="AT8" s="713"/>
      <c r="AU8" s="713"/>
      <c r="AV8" s="337" t="str">
        <f t="shared" si="5"/>
        <v/>
      </c>
      <c r="AW8" s="701" t="s">
        <v>230</v>
      </c>
      <c r="AX8" s="702"/>
      <c r="AY8" s="702"/>
      <c r="AZ8" s="322"/>
      <c r="BA8" s="339" t="str">
        <f>IF(AZ8=0,"",BB8/AZ8)</f>
        <v/>
      </c>
      <c r="BB8" s="713"/>
      <c r="BC8" s="713"/>
      <c r="BD8" s="337" t="str">
        <f t="shared" si="6"/>
        <v/>
      </c>
      <c r="BE8" s="701" t="s">
        <v>230</v>
      </c>
      <c r="BF8" s="702"/>
      <c r="BG8" s="702"/>
      <c r="BH8" s="322"/>
      <c r="BI8" s="339" t="str">
        <f>IF(BH8=0,"",BJ8/BH8)</f>
        <v/>
      </c>
      <c r="BJ8" s="713"/>
      <c r="BK8" s="713"/>
      <c r="BL8" s="337" t="str">
        <f t="shared" si="7"/>
        <v/>
      </c>
    </row>
    <row r="9" spans="1:64" ht="18.600000000000001" thickBot="1" x14ac:dyDescent="0.55000000000000004">
      <c r="A9" s="710" t="s">
        <v>231</v>
      </c>
      <c r="B9" s="711"/>
      <c r="C9" s="711"/>
      <c r="D9" s="323"/>
      <c r="E9" s="104" t="str">
        <f>IF(D9=0,"",F9/D9)</f>
        <v/>
      </c>
      <c r="F9" s="717"/>
      <c r="G9" s="717"/>
      <c r="H9" s="105" t="str">
        <f t="shared" si="0"/>
        <v/>
      </c>
      <c r="I9" s="710" t="s">
        <v>231</v>
      </c>
      <c r="J9" s="711"/>
      <c r="K9" s="711"/>
      <c r="L9" s="323"/>
      <c r="M9" s="104" t="str">
        <f>IF(L9=0,"",N9/L9)</f>
        <v/>
      </c>
      <c r="N9" s="717"/>
      <c r="O9" s="717"/>
      <c r="P9" s="105" t="str">
        <f t="shared" si="1"/>
        <v/>
      </c>
      <c r="Q9" s="710" t="s">
        <v>231</v>
      </c>
      <c r="R9" s="711"/>
      <c r="S9" s="711"/>
      <c r="T9" s="323"/>
      <c r="U9" s="104" t="str">
        <f>IF(T9=0,"",V9/T9)</f>
        <v/>
      </c>
      <c r="V9" s="717"/>
      <c r="W9" s="717"/>
      <c r="X9" s="105" t="str">
        <f t="shared" si="2"/>
        <v/>
      </c>
      <c r="Y9" s="710" t="s">
        <v>231</v>
      </c>
      <c r="Z9" s="711"/>
      <c r="AA9" s="711"/>
      <c r="AB9" s="323"/>
      <c r="AC9" s="104" t="str">
        <f>IF(AB9=0,"",AD9/AB9)</f>
        <v/>
      </c>
      <c r="AD9" s="717"/>
      <c r="AE9" s="717"/>
      <c r="AF9" s="105" t="str">
        <f t="shared" si="3"/>
        <v/>
      </c>
      <c r="AG9" s="710" t="s">
        <v>231</v>
      </c>
      <c r="AH9" s="711"/>
      <c r="AI9" s="711"/>
      <c r="AJ9" s="323"/>
      <c r="AK9" s="104" t="str">
        <f>IF(AJ9=0,"",AL9/AJ9)</f>
        <v/>
      </c>
      <c r="AL9" s="717"/>
      <c r="AM9" s="717"/>
      <c r="AN9" s="105" t="str">
        <f t="shared" si="4"/>
        <v/>
      </c>
      <c r="AO9" s="710" t="s">
        <v>231</v>
      </c>
      <c r="AP9" s="711"/>
      <c r="AQ9" s="711"/>
      <c r="AR9" s="323"/>
      <c r="AS9" s="104" t="str">
        <f>IF(AR9=0,"",AT9/AR9)</f>
        <v/>
      </c>
      <c r="AT9" s="717"/>
      <c r="AU9" s="717"/>
      <c r="AV9" s="105" t="str">
        <f t="shared" si="5"/>
        <v/>
      </c>
      <c r="AW9" s="710" t="s">
        <v>231</v>
      </c>
      <c r="AX9" s="711"/>
      <c r="AY9" s="711"/>
      <c r="AZ9" s="323"/>
      <c r="BA9" s="104" t="str">
        <f>IF(AZ9=0,"",BB9/AZ9)</f>
        <v/>
      </c>
      <c r="BB9" s="717"/>
      <c r="BC9" s="717"/>
      <c r="BD9" s="105" t="str">
        <f t="shared" si="6"/>
        <v/>
      </c>
      <c r="BE9" s="710" t="s">
        <v>231</v>
      </c>
      <c r="BF9" s="711"/>
      <c r="BG9" s="711"/>
      <c r="BH9" s="323"/>
      <c r="BI9" s="104" t="str">
        <f>IF(BH9=0,"",BJ9/BH9)</f>
        <v/>
      </c>
      <c r="BJ9" s="717"/>
      <c r="BK9" s="717"/>
      <c r="BL9" s="105" t="str">
        <f t="shared" si="7"/>
        <v/>
      </c>
    </row>
    <row r="10" spans="1:64" x14ac:dyDescent="0.5">
      <c r="A10" s="722" t="s">
        <v>232</v>
      </c>
      <c r="B10" s="723"/>
      <c r="C10" s="723"/>
      <c r="D10" s="723"/>
      <c r="E10" s="723"/>
      <c r="F10" s="724">
        <f>F11</f>
        <v>0</v>
      </c>
      <c r="G10" s="724"/>
      <c r="H10" s="326" t="str">
        <f t="shared" si="0"/>
        <v/>
      </c>
      <c r="I10" s="722" t="s">
        <v>232</v>
      </c>
      <c r="J10" s="723"/>
      <c r="K10" s="723"/>
      <c r="L10" s="723"/>
      <c r="M10" s="723"/>
      <c r="N10" s="724">
        <f>N11</f>
        <v>0</v>
      </c>
      <c r="O10" s="724"/>
      <c r="P10" s="326" t="str">
        <f t="shared" si="1"/>
        <v/>
      </c>
      <c r="Q10" s="722" t="s">
        <v>232</v>
      </c>
      <c r="R10" s="723"/>
      <c r="S10" s="723"/>
      <c r="T10" s="723"/>
      <c r="U10" s="723"/>
      <c r="V10" s="724">
        <f>V11</f>
        <v>0</v>
      </c>
      <c r="W10" s="724"/>
      <c r="X10" s="326" t="str">
        <f t="shared" si="2"/>
        <v/>
      </c>
      <c r="Y10" s="722" t="s">
        <v>232</v>
      </c>
      <c r="Z10" s="723"/>
      <c r="AA10" s="723"/>
      <c r="AB10" s="723"/>
      <c r="AC10" s="723"/>
      <c r="AD10" s="724">
        <f>AD11</f>
        <v>0</v>
      </c>
      <c r="AE10" s="724"/>
      <c r="AF10" s="326" t="str">
        <f t="shared" si="3"/>
        <v/>
      </c>
      <c r="AG10" s="722" t="s">
        <v>232</v>
      </c>
      <c r="AH10" s="723"/>
      <c r="AI10" s="723"/>
      <c r="AJ10" s="723"/>
      <c r="AK10" s="723"/>
      <c r="AL10" s="724">
        <f>AL11</f>
        <v>0</v>
      </c>
      <c r="AM10" s="724"/>
      <c r="AN10" s="326" t="str">
        <f t="shared" si="4"/>
        <v/>
      </c>
      <c r="AO10" s="722" t="s">
        <v>232</v>
      </c>
      <c r="AP10" s="723"/>
      <c r="AQ10" s="723"/>
      <c r="AR10" s="723"/>
      <c r="AS10" s="723"/>
      <c r="AT10" s="724">
        <f>AT11</f>
        <v>0</v>
      </c>
      <c r="AU10" s="724"/>
      <c r="AV10" s="326" t="str">
        <f t="shared" si="5"/>
        <v/>
      </c>
      <c r="AW10" s="722" t="s">
        <v>232</v>
      </c>
      <c r="AX10" s="723"/>
      <c r="AY10" s="723"/>
      <c r="AZ10" s="723"/>
      <c r="BA10" s="723"/>
      <c r="BB10" s="724">
        <f>BB11</f>
        <v>0</v>
      </c>
      <c r="BC10" s="724"/>
      <c r="BD10" s="326" t="str">
        <f t="shared" si="6"/>
        <v/>
      </c>
      <c r="BE10" s="722" t="s">
        <v>232</v>
      </c>
      <c r="BF10" s="723"/>
      <c r="BG10" s="723"/>
      <c r="BH10" s="723"/>
      <c r="BI10" s="723"/>
      <c r="BJ10" s="724">
        <f>BJ11</f>
        <v>0</v>
      </c>
      <c r="BK10" s="724"/>
      <c r="BL10" s="326" t="str">
        <f t="shared" si="7"/>
        <v/>
      </c>
    </row>
    <row r="11" spans="1:64" ht="18.600000000000001" thickBot="1" x14ac:dyDescent="0.55000000000000004">
      <c r="A11" s="718" t="s">
        <v>233</v>
      </c>
      <c r="B11" s="719"/>
      <c r="C11" s="719"/>
      <c r="D11" s="328"/>
      <c r="E11" s="340" t="str">
        <f>IF(D11=0,"",F11/D11)</f>
        <v/>
      </c>
      <c r="F11" s="725"/>
      <c r="G11" s="725"/>
      <c r="H11" s="338" t="str">
        <f t="shared" si="0"/>
        <v/>
      </c>
      <c r="I11" s="718" t="s">
        <v>233</v>
      </c>
      <c r="J11" s="719"/>
      <c r="K11" s="719"/>
      <c r="L11" s="328"/>
      <c r="M11" s="340" t="str">
        <f>IF(L11=0,"",N11/L11)</f>
        <v/>
      </c>
      <c r="N11" s="725"/>
      <c r="O11" s="725"/>
      <c r="P11" s="338" t="str">
        <f t="shared" si="1"/>
        <v/>
      </c>
      <c r="Q11" s="718" t="s">
        <v>233</v>
      </c>
      <c r="R11" s="719"/>
      <c r="S11" s="719"/>
      <c r="T11" s="328"/>
      <c r="U11" s="340" t="str">
        <f>IF(T11=0,"",V11/T11)</f>
        <v/>
      </c>
      <c r="V11" s="725"/>
      <c r="W11" s="725"/>
      <c r="X11" s="338" t="str">
        <f t="shared" si="2"/>
        <v/>
      </c>
      <c r="Y11" s="718" t="s">
        <v>233</v>
      </c>
      <c r="Z11" s="719"/>
      <c r="AA11" s="719"/>
      <c r="AB11" s="328"/>
      <c r="AC11" s="340" t="str">
        <f>IF(AB11=0,"",AD11/AB11)</f>
        <v/>
      </c>
      <c r="AD11" s="725"/>
      <c r="AE11" s="725"/>
      <c r="AF11" s="338" t="str">
        <f t="shared" si="3"/>
        <v/>
      </c>
      <c r="AG11" s="718" t="s">
        <v>233</v>
      </c>
      <c r="AH11" s="719"/>
      <c r="AI11" s="719"/>
      <c r="AJ11" s="328"/>
      <c r="AK11" s="340" t="str">
        <f>IF(AJ11=0,"",AL11/AJ11)</f>
        <v/>
      </c>
      <c r="AL11" s="725"/>
      <c r="AM11" s="725"/>
      <c r="AN11" s="338" t="str">
        <f t="shared" si="4"/>
        <v/>
      </c>
      <c r="AO11" s="718" t="s">
        <v>233</v>
      </c>
      <c r="AP11" s="719"/>
      <c r="AQ11" s="719"/>
      <c r="AR11" s="328"/>
      <c r="AS11" s="340" t="str">
        <f>IF(AR11=0,"",AT11/AR11)</f>
        <v/>
      </c>
      <c r="AT11" s="725"/>
      <c r="AU11" s="725"/>
      <c r="AV11" s="338" t="str">
        <f t="shared" si="5"/>
        <v/>
      </c>
      <c r="AW11" s="718" t="s">
        <v>233</v>
      </c>
      <c r="AX11" s="719"/>
      <c r="AY11" s="719"/>
      <c r="AZ11" s="328"/>
      <c r="BA11" s="340" t="str">
        <f>IF(AZ11=0,"",BB11/AZ11)</f>
        <v/>
      </c>
      <c r="BB11" s="725"/>
      <c r="BC11" s="725"/>
      <c r="BD11" s="338" t="str">
        <f t="shared" si="6"/>
        <v/>
      </c>
      <c r="BE11" s="718" t="s">
        <v>233</v>
      </c>
      <c r="BF11" s="719"/>
      <c r="BG11" s="719"/>
      <c r="BH11" s="328"/>
      <c r="BI11" s="340" t="str">
        <f>IF(BH11=0,"",BJ11/BH11)</f>
        <v/>
      </c>
      <c r="BJ11" s="725"/>
      <c r="BK11" s="725"/>
      <c r="BL11" s="338" t="str">
        <f t="shared" si="7"/>
        <v/>
      </c>
    </row>
    <row r="12" spans="1:64" x14ac:dyDescent="0.5">
      <c r="A12" s="714" t="s">
        <v>234</v>
      </c>
      <c r="B12" s="715"/>
      <c r="C12" s="715"/>
      <c r="D12" s="715"/>
      <c r="E12" s="715"/>
      <c r="F12" s="716">
        <f>F13+F14</f>
        <v>0</v>
      </c>
      <c r="G12" s="716"/>
      <c r="H12" s="99" t="str">
        <f t="shared" si="0"/>
        <v/>
      </c>
      <c r="I12" s="714" t="s">
        <v>234</v>
      </c>
      <c r="J12" s="715"/>
      <c r="K12" s="715"/>
      <c r="L12" s="715"/>
      <c r="M12" s="715"/>
      <c r="N12" s="716">
        <f>N13+N14</f>
        <v>0</v>
      </c>
      <c r="O12" s="716"/>
      <c r="P12" s="99" t="str">
        <f t="shared" si="1"/>
        <v/>
      </c>
      <c r="Q12" s="714" t="s">
        <v>234</v>
      </c>
      <c r="R12" s="715"/>
      <c r="S12" s="715"/>
      <c r="T12" s="715"/>
      <c r="U12" s="715"/>
      <c r="V12" s="716">
        <f>V13+V14</f>
        <v>0</v>
      </c>
      <c r="W12" s="716"/>
      <c r="X12" s="99" t="str">
        <f t="shared" si="2"/>
        <v/>
      </c>
      <c r="Y12" s="714" t="s">
        <v>234</v>
      </c>
      <c r="Z12" s="715"/>
      <c r="AA12" s="715"/>
      <c r="AB12" s="715"/>
      <c r="AC12" s="715"/>
      <c r="AD12" s="716">
        <f>AD13+AD14</f>
        <v>0</v>
      </c>
      <c r="AE12" s="716"/>
      <c r="AF12" s="99" t="str">
        <f t="shared" si="3"/>
        <v/>
      </c>
      <c r="AG12" s="714" t="s">
        <v>234</v>
      </c>
      <c r="AH12" s="715"/>
      <c r="AI12" s="715"/>
      <c r="AJ12" s="715"/>
      <c r="AK12" s="715"/>
      <c r="AL12" s="716">
        <f>AL13+AL14</f>
        <v>0</v>
      </c>
      <c r="AM12" s="716"/>
      <c r="AN12" s="99" t="str">
        <f t="shared" si="4"/>
        <v/>
      </c>
      <c r="AO12" s="714" t="s">
        <v>234</v>
      </c>
      <c r="AP12" s="715"/>
      <c r="AQ12" s="715"/>
      <c r="AR12" s="715"/>
      <c r="AS12" s="715"/>
      <c r="AT12" s="716">
        <f>AT13+AT14</f>
        <v>0</v>
      </c>
      <c r="AU12" s="716"/>
      <c r="AV12" s="99" t="str">
        <f t="shared" si="5"/>
        <v/>
      </c>
      <c r="AW12" s="714" t="s">
        <v>234</v>
      </c>
      <c r="AX12" s="715"/>
      <c r="AY12" s="715"/>
      <c r="AZ12" s="715"/>
      <c r="BA12" s="715"/>
      <c r="BB12" s="716">
        <f>BB13+BB14</f>
        <v>0</v>
      </c>
      <c r="BC12" s="716"/>
      <c r="BD12" s="99" t="str">
        <f t="shared" si="6"/>
        <v/>
      </c>
      <c r="BE12" s="714" t="s">
        <v>234</v>
      </c>
      <c r="BF12" s="715"/>
      <c r="BG12" s="715"/>
      <c r="BH12" s="715"/>
      <c r="BI12" s="715"/>
      <c r="BJ12" s="716">
        <f>BJ13+BJ14</f>
        <v>0</v>
      </c>
      <c r="BK12" s="716"/>
      <c r="BL12" s="99" t="str">
        <f t="shared" si="7"/>
        <v/>
      </c>
    </row>
    <row r="13" spans="1:64" x14ac:dyDescent="0.5">
      <c r="A13" s="701" t="s">
        <v>235</v>
      </c>
      <c r="B13" s="702"/>
      <c r="C13" s="702"/>
      <c r="D13" s="2"/>
      <c r="E13" s="339" t="str">
        <f>IF(D13=0,"",F13/D13)</f>
        <v/>
      </c>
      <c r="F13" s="713"/>
      <c r="G13" s="713"/>
      <c r="H13" s="337" t="str">
        <f t="shared" si="0"/>
        <v/>
      </c>
      <c r="I13" s="701" t="s">
        <v>235</v>
      </c>
      <c r="J13" s="702"/>
      <c r="K13" s="702"/>
      <c r="L13" s="2"/>
      <c r="M13" s="339" t="str">
        <f>IF(L13=0,"",N13/L13)</f>
        <v/>
      </c>
      <c r="N13" s="713"/>
      <c r="O13" s="713"/>
      <c r="P13" s="337" t="str">
        <f t="shared" si="1"/>
        <v/>
      </c>
      <c r="Q13" s="701" t="s">
        <v>235</v>
      </c>
      <c r="R13" s="702"/>
      <c r="S13" s="702"/>
      <c r="T13" s="2"/>
      <c r="U13" s="339" t="str">
        <f>IF(T13=0,"",V13/T13)</f>
        <v/>
      </c>
      <c r="V13" s="713"/>
      <c r="W13" s="713"/>
      <c r="X13" s="337" t="str">
        <f t="shared" si="2"/>
        <v/>
      </c>
      <c r="Y13" s="701" t="s">
        <v>235</v>
      </c>
      <c r="Z13" s="702"/>
      <c r="AA13" s="702"/>
      <c r="AB13" s="2"/>
      <c r="AC13" s="339" t="str">
        <f>IF(AB13=0,"",AD13/AB13)</f>
        <v/>
      </c>
      <c r="AD13" s="713"/>
      <c r="AE13" s="713"/>
      <c r="AF13" s="337" t="str">
        <f t="shared" si="3"/>
        <v/>
      </c>
      <c r="AG13" s="701" t="s">
        <v>235</v>
      </c>
      <c r="AH13" s="702"/>
      <c r="AI13" s="702"/>
      <c r="AJ13" s="2"/>
      <c r="AK13" s="339" t="str">
        <f>IF(AJ13=0,"",AL13/AJ13)</f>
        <v/>
      </c>
      <c r="AL13" s="713"/>
      <c r="AM13" s="713"/>
      <c r="AN13" s="337" t="str">
        <f t="shared" si="4"/>
        <v/>
      </c>
      <c r="AO13" s="701" t="s">
        <v>235</v>
      </c>
      <c r="AP13" s="702"/>
      <c r="AQ13" s="702"/>
      <c r="AR13" s="2"/>
      <c r="AS13" s="339" t="str">
        <f>IF(AR13=0,"",AT13/AR13)</f>
        <v/>
      </c>
      <c r="AT13" s="713"/>
      <c r="AU13" s="713"/>
      <c r="AV13" s="337" t="str">
        <f t="shared" si="5"/>
        <v/>
      </c>
      <c r="AW13" s="701" t="s">
        <v>235</v>
      </c>
      <c r="AX13" s="702"/>
      <c r="AY13" s="702"/>
      <c r="AZ13" s="2"/>
      <c r="BA13" s="339" t="str">
        <f>IF(AZ13=0,"",BB13/AZ13)</f>
        <v/>
      </c>
      <c r="BB13" s="713"/>
      <c r="BC13" s="713"/>
      <c r="BD13" s="337" t="str">
        <f t="shared" si="6"/>
        <v/>
      </c>
      <c r="BE13" s="701" t="s">
        <v>235</v>
      </c>
      <c r="BF13" s="702"/>
      <c r="BG13" s="702"/>
      <c r="BH13" s="2"/>
      <c r="BI13" s="339" t="str">
        <f>IF(BH13=0,"",BJ13/BH13)</f>
        <v/>
      </c>
      <c r="BJ13" s="713"/>
      <c r="BK13" s="713"/>
      <c r="BL13" s="337" t="str">
        <f t="shared" si="7"/>
        <v/>
      </c>
    </row>
    <row r="14" spans="1:64" x14ac:dyDescent="0.5">
      <c r="A14" s="701" t="s">
        <v>236</v>
      </c>
      <c r="B14" s="702"/>
      <c r="C14" s="702"/>
      <c r="D14" s="2"/>
      <c r="E14" s="339" t="str">
        <f>IF(D14=0,"",F14/D14)</f>
        <v/>
      </c>
      <c r="F14" s="708"/>
      <c r="G14" s="709"/>
      <c r="H14" s="337" t="str">
        <f t="shared" si="0"/>
        <v/>
      </c>
      <c r="I14" s="701" t="s">
        <v>236</v>
      </c>
      <c r="J14" s="702"/>
      <c r="K14" s="702"/>
      <c r="L14" s="2"/>
      <c r="M14" s="339" t="str">
        <f>IF(L14=0,"",N14/L14)</f>
        <v/>
      </c>
      <c r="N14" s="708"/>
      <c r="O14" s="709"/>
      <c r="P14" s="337" t="str">
        <f t="shared" si="1"/>
        <v/>
      </c>
      <c r="Q14" s="701" t="s">
        <v>236</v>
      </c>
      <c r="R14" s="702"/>
      <c r="S14" s="702"/>
      <c r="T14" s="2"/>
      <c r="U14" s="339" t="str">
        <f>IF(T14=0,"",V14/T14)</f>
        <v/>
      </c>
      <c r="V14" s="708"/>
      <c r="W14" s="709"/>
      <c r="X14" s="337" t="str">
        <f t="shared" si="2"/>
        <v/>
      </c>
      <c r="Y14" s="701" t="s">
        <v>236</v>
      </c>
      <c r="Z14" s="702"/>
      <c r="AA14" s="702"/>
      <c r="AB14" s="2"/>
      <c r="AC14" s="339" t="str">
        <f>IF(AB14=0,"",AD14/AB14)</f>
        <v/>
      </c>
      <c r="AD14" s="708"/>
      <c r="AE14" s="709"/>
      <c r="AF14" s="337" t="str">
        <f t="shared" si="3"/>
        <v/>
      </c>
      <c r="AG14" s="701" t="s">
        <v>236</v>
      </c>
      <c r="AH14" s="702"/>
      <c r="AI14" s="702"/>
      <c r="AJ14" s="2"/>
      <c r="AK14" s="339" t="str">
        <f>IF(AJ14=0,"",AL14/AJ14)</f>
        <v/>
      </c>
      <c r="AL14" s="708"/>
      <c r="AM14" s="709"/>
      <c r="AN14" s="337" t="str">
        <f t="shared" si="4"/>
        <v/>
      </c>
      <c r="AO14" s="701" t="s">
        <v>236</v>
      </c>
      <c r="AP14" s="702"/>
      <c r="AQ14" s="702"/>
      <c r="AR14" s="2"/>
      <c r="AS14" s="339" t="str">
        <f>IF(AR14=0,"",AT14/AR14)</f>
        <v/>
      </c>
      <c r="AT14" s="708"/>
      <c r="AU14" s="709"/>
      <c r="AV14" s="337" t="str">
        <f t="shared" si="5"/>
        <v/>
      </c>
      <c r="AW14" s="701" t="s">
        <v>236</v>
      </c>
      <c r="AX14" s="702"/>
      <c r="AY14" s="702"/>
      <c r="AZ14" s="2"/>
      <c r="BA14" s="339" t="str">
        <f>IF(AZ14=0,"",BB14/AZ14)</f>
        <v/>
      </c>
      <c r="BB14" s="708"/>
      <c r="BC14" s="709"/>
      <c r="BD14" s="337" t="str">
        <f t="shared" si="6"/>
        <v/>
      </c>
      <c r="BE14" s="701" t="s">
        <v>236</v>
      </c>
      <c r="BF14" s="702"/>
      <c r="BG14" s="702"/>
      <c r="BH14" s="2"/>
      <c r="BI14" s="339" t="str">
        <f>IF(BH14=0,"",BJ14/BH14)</f>
        <v/>
      </c>
      <c r="BJ14" s="708"/>
      <c r="BK14" s="709"/>
      <c r="BL14" s="337" t="str">
        <f t="shared" si="7"/>
        <v/>
      </c>
    </row>
    <row r="15" spans="1:64" ht="18.600000000000001" thickBot="1" x14ac:dyDescent="0.55000000000000004">
      <c r="A15" s="718" t="s">
        <v>237</v>
      </c>
      <c r="B15" s="719"/>
      <c r="C15" s="719"/>
      <c r="D15" s="328"/>
      <c r="E15" s="340" t="str">
        <f>IF(D15=0,"",F15/D15)</f>
        <v/>
      </c>
      <c r="F15" s="720"/>
      <c r="G15" s="721"/>
      <c r="H15" s="338" t="str">
        <f t="shared" si="0"/>
        <v/>
      </c>
      <c r="I15" s="718" t="s">
        <v>237</v>
      </c>
      <c r="J15" s="719"/>
      <c r="K15" s="719"/>
      <c r="L15" s="328"/>
      <c r="M15" s="340" t="str">
        <f>IF(L15=0,"",N15/L15)</f>
        <v/>
      </c>
      <c r="N15" s="720"/>
      <c r="O15" s="721"/>
      <c r="P15" s="338" t="str">
        <f t="shared" si="1"/>
        <v/>
      </c>
      <c r="Q15" s="718" t="s">
        <v>237</v>
      </c>
      <c r="R15" s="719"/>
      <c r="S15" s="719"/>
      <c r="T15" s="328"/>
      <c r="U15" s="340" t="str">
        <f>IF(T15=0,"",V15/T15)</f>
        <v/>
      </c>
      <c r="V15" s="720"/>
      <c r="W15" s="721"/>
      <c r="X15" s="338" t="str">
        <f t="shared" si="2"/>
        <v/>
      </c>
      <c r="Y15" s="718" t="s">
        <v>237</v>
      </c>
      <c r="Z15" s="719"/>
      <c r="AA15" s="719"/>
      <c r="AB15" s="328"/>
      <c r="AC15" s="340" t="str">
        <f>IF(AB15=0,"",AD15/AB15)</f>
        <v/>
      </c>
      <c r="AD15" s="720"/>
      <c r="AE15" s="721"/>
      <c r="AF15" s="338" t="str">
        <f t="shared" si="3"/>
        <v/>
      </c>
      <c r="AG15" s="718" t="s">
        <v>237</v>
      </c>
      <c r="AH15" s="719"/>
      <c r="AI15" s="719"/>
      <c r="AJ15" s="328"/>
      <c r="AK15" s="340" t="str">
        <f>IF(AJ15=0,"",AL15/AJ15)</f>
        <v/>
      </c>
      <c r="AL15" s="720"/>
      <c r="AM15" s="721"/>
      <c r="AN15" s="338" t="str">
        <f t="shared" si="4"/>
        <v/>
      </c>
      <c r="AO15" s="718" t="s">
        <v>237</v>
      </c>
      <c r="AP15" s="719"/>
      <c r="AQ15" s="719"/>
      <c r="AR15" s="328"/>
      <c r="AS15" s="340" t="str">
        <f>IF(AR15=0,"",AT15/AR15)</f>
        <v/>
      </c>
      <c r="AT15" s="720"/>
      <c r="AU15" s="721"/>
      <c r="AV15" s="338" t="str">
        <f t="shared" si="5"/>
        <v/>
      </c>
      <c r="AW15" s="718" t="s">
        <v>237</v>
      </c>
      <c r="AX15" s="719"/>
      <c r="AY15" s="719"/>
      <c r="AZ15" s="328"/>
      <c r="BA15" s="340" t="str">
        <f>IF(AZ15=0,"",BB15/AZ15)</f>
        <v/>
      </c>
      <c r="BB15" s="720"/>
      <c r="BC15" s="721"/>
      <c r="BD15" s="338" t="str">
        <f t="shared" si="6"/>
        <v/>
      </c>
      <c r="BE15" s="718" t="s">
        <v>237</v>
      </c>
      <c r="BF15" s="719"/>
      <c r="BG15" s="719"/>
      <c r="BH15" s="328"/>
      <c r="BI15" s="340" t="str">
        <f>IF(BH15=0,"",BJ15/BH15)</f>
        <v/>
      </c>
      <c r="BJ15" s="720"/>
      <c r="BK15" s="721"/>
      <c r="BL15" s="338" t="str">
        <f t="shared" si="7"/>
        <v/>
      </c>
    </row>
    <row r="16" spans="1:64" x14ac:dyDescent="0.5">
      <c r="A16" s="714" t="s">
        <v>238</v>
      </c>
      <c r="B16" s="715"/>
      <c r="C16" s="715"/>
      <c r="D16" s="715"/>
      <c r="E16" s="715"/>
      <c r="F16" s="716">
        <f>F17</f>
        <v>0</v>
      </c>
      <c r="G16" s="716"/>
      <c r="H16" s="99" t="str">
        <f t="shared" si="0"/>
        <v/>
      </c>
      <c r="I16" s="714" t="s">
        <v>238</v>
      </c>
      <c r="J16" s="715"/>
      <c r="K16" s="715"/>
      <c r="L16" s="715"/>
      <c r="M16" s="715"/>
      <c r="N16" s="716">
        <f>N17</f>
        <v>0</v>
      </c>
      <c r="O16" s="716"/>
      <c r="P16" s="99" t="str">
        <f t="shared" si="1"/>
        <v/>
      </c>
      <c r="Q16" s="714" t="s">
        <v>238</v>
      </c>
      <c r="R16" s="715"/>
      <c r="S16" s="715"/>
      <c r="T16" s="715"/>
      <c r="U16" s="715"/>
      <c r="V16" s="716">
        <f>V17</f>
        <v>0</v>
      </c>
      <c r="W16" s="716"/>
      <c r="X16" s="99" t="str">
        <f t="shared" si="2"/>
        <v/>
      </c>
      <c r="Y16" s="714" t="s">
        <v>238</v>
      </c>
      <c r="Z16" s="715"/>
      <c r="AA16" s="715"/>
      <c r="AB16" s="715"/>
      <c r="AC16" s="715"/>
      <c r="AD16" s="716">
        <f>AD17</f>
        <v>0</v>
      </c>
      <c r="AE16" s="716"/>
      <c r="AF16" s="99" t="str">
        <f t="shared" si="3"/>
        <v/>
      </c>
      <c r="AG16" s="714" t="s">
        <v>238</v>
      </c>
      <c r="AH16" s="715"/>
      <c r="AI16" s="715"/>
      <c r="AJ16" s="715"/>
      <c r="AK16" s="715"/>
      <c r="AL16" s="716">
        <f>AL17</f>
        <v>0</v>
      </c>
      <c r="AM16" s="716"/>
      <c r="AN16" s="99" t="str">
        <f t="shared" si="4"/>
        <v/>
      </c>
      <c r="AO16" s="714" t="s">
        <v>238</v>
      </c>
      <c r="AP16" s="715"/>
      <c r="AQ16" s="715"/>
      <c r="AR16" s="715"/>
      <c r="AS16" s="715"/>
      <c r="AT16" s="716">
        <f>AT17</f>
        <v>0</v>
      </c>
      <c r="AU16" s="716"/>
      <c r="AV16" s="99" t="str">
        <f t="shared" si="5"/>
        <v/>
      </c>
      <c r="AW16" s="714" t="s">
        <v>238</v>
      </c>
      <c r="AX16" s="715"/>
      <c r="AY16" s="715"/>
      <c r="AZ16" s="715"/>
      <c r="BA16" s="715"/>
      <c r="BB16" s="716">
        <f>BB17</f>
        <v>0</v>
      </c>
      <c r="BC16" s="716"/>
      <c r="BD16" s="99" t="str">
        <f t="shared" si="6"/>
        <v/>
      </c>
      <c r="BE16" s="714" t="s">
        <v>238</v>
      </c>
      <c r="BF16" s="715"/>
      <c r="BG16" s="715"/>
      <c r="BH16" s="715"/>
      <c r="BI16" s="715"/>
      <c r="BJ16" s="716">
        <f>BJ17</f>
        <v>0</v>
      </c>
      <c r="BK16" s="716"/>
      <c r="BL16" s="99" t="str">
        <f t="shared" si="7"/>
        <v/>
      </c>
    </row>
    <row r="17" spans="1:64" ht="18.600000000000001" thickBot="1" x14ac:dyDescent="0.55000000000000004">
      <c r="A17" s="710" t="s">
        <v>239</v>
      </c>
      <c r="B17" s="711"/>
      <c r="C17" s="711"/>
      <c r="D17" s="3"/>
      <c r="E17" s="104" t="str">
        <f>IF(D17=0,"",F17/D17)</f>
        <v/>
      </c>
      <c r="F17" s="717"/>
      <c r="G17" s="717"/>
      <c r="H17" s="105" t="str">
        <f t="shared" si="0"/>
        <v/>
      </c>
      <c r="I17" s="710" t="s">
        <v>239</v>
      </c>
      <c r="J17" s="711"/>
      <c r="K17" s="711"/>
      <c r="L17" s="3"/>
      <c r="M17" s="104" t="str">
        <f>IF(L17=0,"",N17/L17)</f>
        <v/>
      </c>
      <c r="N17" s="717"/>
      <c r="O17" s="717"/>
      <c r="P17" s="105" t="str">
        <f t="shared" si="1"/>
        <v/>
      </c>
      <c r="Q17" s="710" t="s">
        <v>239</v>
      </c>
      <c r="R17" s="711"/>
      <c r="S17" s="711"/>
      <c r="T17" s="3"/>
      <c r="U17" s="104" t="str">
        <f>IF(T17=0,"",V17/T17)</f>
        <v/>
      </c>
      <c r="V17" s="717"/>
      <c r="W17" s="717"/>
      <c r="X17" s="105" t="str">
        <f t="shared" si="2"/>
        <v/>
      </c>
      <c r="Y17" s="710" t="s">
        <v>239</v>
      </c>
      <c r="Z17" s="711"/>
      <c r="AA17" s="711"/>
      <c r="AB17" s="3"/>
      <c r="AC17" s="104" t="str">
        <f>IF(AB17=0,"",AD17/AB17)</f>
        <v/>
      </c>
      <c r="AD17" s="717"/>
      <c r="AE17" s="717"/>
      <c r="AF17" s="105" t="str">
        <f t="shared" si="3"/>
        <v/>
      </c>
      <c r="AG17" s="710" t="s">
        <v>239</v>
      </c>
      <c r="AH17" s="711"/>
      <c r="AI17" s="711"/>
      <c r="AJ17" s="3"/>
      <c r="AK17" s="104" t="str">
        <f>IF(AJ17=0,"",AL17/AJ17)</f>
        <v/>
      </c>
      <c r="AL17" s="717"/>
      <c r="AM17" s="717"/>
      <c r="AN17" s="105" t="str">
        <f t="shared" si="4"/>
        <v/>
      </c>
      <c r="AO17" s="710" t="s">
        <v>239</v>
      </c>
      <c r="AP17" s="711"/>
      <c r="AQ17" s="711"/>
      <c r="AR17" s="3"/>
      <c r="AS17" s="104" t="str">
        <f>IF(AR17=0,"",AT17/AR17)</f>
        <v/>
      </c>
      <c r="AT17" s="717"/>
      <c r="AU17" s="717"/>
      <c r="AV17" s="105" t="str">
        <f t="shared" si="5"/>
        <v/>
      </c>
      <c r="AW17" s="710" t="s">
        <v>239</v>
      </c>
      <c r="AX17" s="711"/>
      <c r="AY17" s="711"/>
      <c r="AZ17" s="3"/>
      <c r="BA17" s="104" t="str">
        <f>IF(AZ17=0,"",BB17/AZ17)</f>
        <v/>
      </c>
      <c r="BB17" s="717"/>
      <c r="BC17" s="717"/>
      <c r="BD17" s="105" t="str">
        <f t="shared" si="6"/>
        <v/>
      </c>
      <c r="BE17" s="710" t="s">
        <v>239</v>
      </c>
      <c r="BF17" s="711"/>
      <c r="BG17" s="711"/>
      <c r="BH17" s="3"/>
      <c r="BI17" s="104" t="str">
        <f>IF(BH17=0,"",BJ17/BH17)</f>
        <v/>
      </c>
      <c r="BJ17" s="717"/>
      <c r="BK17" s="717"/>
      <c r="BL17" s="105" t="str">
        <f t="shared" si="7"/>
        <v/>
      </c>
    </row>
    <row r="18" spans="1:64" x14ac:dyDescent="0.5">
      <c r="A18" s="714" t="s">
        <v>240</v>
      </c>
      <c r="B18" s="715"/>
      <c r="C18" s="715"/>
      <c r="D18" s="715"/>
      <c r="E18" s="715"/>
      <c r="F18" s="716">
        <f>F19+F20+F21+F22+F23</f>
        <v>0</v>
      </c>
      <c r="G18" s="716"/>
      <c r="H18" s="99" t="str">
        <f t="shared" si="0"/>
        <v/>
      </c>
      <c r="I18" s="714" t="s">
        <v>240</v>
      </c>
      <c r="J18" s="715"/>
      <c r="K18" s="715"/>
      <c r="L18" s="715"/>
      <c r="M18" s="715"/>
      <c r="N18" s="716">
        <f>N19+N20+N21+N22+N23</f>
        <v>0</v>
      </c>
      <c r="O18" s="716"/>
      <c r="P18" s="99" t="str">
        <f t="shared" si="1"/>
        <v/>
      </c>
      <c r="Q18" s="714" t="s">
        <v>240</v>
      </c>
      <c r="R18" s="715"/>
      <c r="S18" s="715"/>
      <c r="T18" s="715"/>
      <c r="U18" s="715"/>
      <c r="V18" s="716">
        <f>V19+V20+V21+V22+V23</f>
        <v>0</v>
      </c>
      <c r="W18" s="716"/>
      <c r="X18" s="99" t="str">
        <f t="shared" si="2"/>
        <v/>
      </c>
      <c r="Y18" s="714" t="s">
        <v>240</v>
      </c>
      <c r="Z18" s="715"/>
      <c r="AA18" s="715"/>
      <c r="AB18" s="715"/>
      <c r="AC18" s="715"/>
      <c r="AD18" s="716">
        <f>AD19+AD20+AD21+AD22+AD23</f>
        <v>0</v>
      </c>
      <c r="AE18" s="716"/>
      <c r="AF18" s="99" t="str">
        <f t="shared" si="3"/>
        <v/>
      </c>
      <c r="AG18" s="714" t="s">
        <v>240</v>
      </c>
      <c r="AH18" s="715"/>
      <c r="AI18" s="715"/>
      <c r="AJ18" s="715"/>
      <c r="AK18" s="715"/>
      <c r="AL18" s="716">
        <f>AL19+AL20+AL21+AL22+AL23</f>
        <v>0</v>
      </c>
      <c r="AM18" s="716"/>
      <c r="AN18" s="99" t="str">
        <f t="shared" si="4"/>
        <v/>
      </c>
      <c r="AO18" s="714" t="s">
        <v>240</v>
      </c>
      <c r="AP18" s="715"/>
      <c r="AQ18" s="715"/>
      <c r="AR18" s="715"/>
      <c r="AS18" s="715"/>
      <c r="AT18" s="716">
        <f>AT19+AT20+AT21+AT22+AT23</f>
        <v>0</v>
      </c>
      <c r="AU18" s="716"/>
      <c r="AV18" s="99" t="str">
        <f t="shared" si="5"/>
        <v/>
      </c>
      <c r="AW18" s="714" t="s">
        <v>240</v>
      </c>
      <c r="AX18" s="715"/>
      <c r="AY18" s="715"/>
      <c r="AZ18" s="715"/>
      <c r="BA18" s="715"/>
      <c r="BB18" s="716">
        <f>BB19+BB20+BB21+BB22+BB23</f>
        <v>0</v>
      </c>
      <c r="BC18" s="716"/>
      <c r="BD18" s="99" t="str">
        <f t="shared" si="6"/>
        <v/>
      </c>
      <c r="BE18" s="714" t="s">
        <v>240</v>
      </c>
      <c r="BF18" s="715"/>
      <c r="BG18" s="715"/>
      <c r="BH18" s="715"/>
      <c r="BI18" s="715"/>
      <c r="BJ18" s="716">
        <f>BJ19+BJ20+BJ21+BJ22+BJ23</f>
        <v>0</v>
      </c>
      <c r="BK18" s="716"/>
      <c r="BL18" s="99" t="str">
        <f t="shared" si="7"/>
        <v/>
      </c>
    </row>
    <row r="19" spans="1:64" x14ac:dyDescent="0.5">
      <c r="A19" s="701" t="s">
        <v>241</v>
      </c>
      <c r="B19" s="702"/>
      <c r="C19" s="702"/>
      <c r="D19" s="2"/>
      <c r="E19" s="339" t="str">
        <f>IF(D19=0,"",F19/D19)</f>
        <v/>
      </c>
      <c r="F19" s="713"/>
      <c r="G19" s="713"/>
      <c r="H19" s="337" t="str">
        <f t="shared" si="0"/>
        <v/>
      </c>
      <c r="I19" s="701" t="s">
        <v>241</v>
      </c>
      <c r="J19" s="702"/>
      <c r="K19" s="702"/>
      <c r="L19" s="2"/>
      <c r="M19" s="339" t="str">
        <f>IF(L19=0,"",N19/L19)</f>
        <v/>
      </c>
      <c r="N19" s="713"/>
      <c r="O19" s="713"/>
      <c r="P19" s="337" t="str">
        <f t="shared" si="1"/>
        <v/>
      </c>
      <c r="Q19" s="701" t="s">
        <v>241</v>
      </c>
      <c r="R19" s="702"/>
      <c r="S19" s="702"/>
      <c r="T19" s="2"/>
      <c r="U19" s="339" t="str">
        <f>IF(T19=0,"",V19/T19)</f>
        <v/>
      </c>
      <c r="V19" s="713"/>
      <c r="W19" s="713"/>
      <c r="X19" s="337" t="str">
        <f t="shared" si="2"/>
        <v/>
      </c>
      <c r="Y19" s="701" t="s">
        <v>241</v>
      </c>
      <c r="Z19" s="702"/>
      <c r="AA19" s="702"/>
      <c r="AB19" s="2"/>
      <c r="AC19" s="339" t="str">
        <f>IF(AB19=0,"",AD19/AB19)</f>
        <v/>
      </c>
      <c r="AD19" s="713"/>
      <c r="AE19" s="713"/>
      <c r="AF19" s="337" t="str">
        <f t="shared" si="3"/>
        <v/>
      </c>
      <c r="AG19" s="701" t="s">
        <v>241</v>
      </c>
      <c r="AH19" s="702"/>
      <c r="AI19" s="702"/>
      <c r="AJ19" s="2"/>
      <c r="AK19" s="339" t="str">
        <f>IF(AJ19=0,"",AL19/AJ19)</f>
        <v/>
      </c>
      <c r="AL19" s="713"/>
      <c r="AM19" s="713"/>
      <c r="AN19" s="337" t="str">
        <f t="shared" si="4"/>
        <v/>
      </c>
      <c r="AO19" s="701" t="s">
        <v>241</v>
      </c>
      <c r="AP19" s="702"/>
      <c r="AQ19" s="702"/>
      <c r="AR19" s="2"/>
      <c r="AS19" s="339" t="str">
        <f>IF(AR19=0,"",AT19/AR19)</f>
        <v/>
      </c>
      <c r="AT19" s="713"/>
      <c r="AU19" s="713"/>
      <c r="AV19" s="337" t="str">
        <f t="shared" si="5"/>
        <v/>
      </c>
      <c r="AW19" s="701" t="s">
        <v>241</v>
      </c>
      <c r="AX19" s="702"/>
      <c r="AY19" s="702"/>
      <c r="AZ19" s="2"/>
      <c r="BA19" s="339" t="str">
        <f>IF(AZ19=0,"",BB19/AZ19)</f>
        <v/>
      </c>
      <c r="BB19" s="713"/>
      <c r="BC19" s="713"/>
      <c r="BD19" s="337" t="str">
        <f t="shared" si="6"/>
        <v/>
      </c>
      <c r="BE19" s="701" t="s">
        <v>241</v>
      </c>
      <c r="BF19" s="702"/>
      <c r="BG19" s="702"/>
      <c r="BH19" s="2"/>
      <c r="BI19" s="339" t="str">
        <f>IF(BH19=0,"",BJ19/BH19)</f>
        <v/>
      </c>
      <c r="BJ19" s="713"/>
      <c r="BK19" s="713"/>
      <c r="BL19" s="337" t="str">
        <f t="shared" si="7"/>
        <v/>
      </c>
    </row>
    <row r="20" spans="1:64" x14ac:dyDescent="0.5">
      <c r="A20" s="701" t="s">
        <v>242</v>
      </c>
      <c r="B20" s="702"/>
      <c r="C20" s="702"/>
      <c r="D20" s="2"/>
      <c r="E20" s="339" t="str">
        <f>IF(D20=0,"",F20/D20)</f>
        <v/>
      </c>
      <c r="F20" s="708"/>
      <c r="G20" s="709"/>
      <c r="H20" s="337" t="str">
        <f t="shared" si="0"/>
        <v/>
      </c>
      <c r="I20" s="701" t="s">
        <v>242</v>
      </c>
      <c r="J20" s="702"/>
      <c r="K20" s="702"/>
      <c r="L20" s="2"/>
      <c r="M20" s="339" t="str">
        <f>IF(L20=0,"",N20/L20)</f>
        <v/>
      </c>
      <c r="N20" s="708"/>
      <c r="O20" s="709"/>
      <c r="P20" s="337" t="str">
        <f t="shared" si="1"/>
        <v/>
      </c>
      <c r="Q20" s="701" t="s">
        <v>242</v>
      </c>
      <c r="R20" s="702"/>
      <c r="S20" s="702"/>
      <c r="T20" s="2"/>
      <c r="U20" s="339" t="str">
        <f>IF(T20=0,"",V20/T20)</f>
        <v/>
      </c>
      <c r="V20" s="708"/>
      <c r="W20" s="709"/>
      <c r="X20" s="337" t="str">
        <f t="shared" si="2"/>
        <v/>
      </c>
      <c r="Y20" s="701" t="s">
        <v>242</v>
      </c>
      <c r="Z20" s="702"/>
      <c r="AA20" s="702"/>
      <c r="AB20" s="2"/>
      <c r="AC20" s="339" t="str">
        <f>IF(AB20=0,"",AD20/AB20)</f>
        <v/>
      </c>
      <c r="AD20" s="708"/>
      <c r="AE20" s="709"/>
      <c r="AF20" s="337" t="str">
        <f t="shared" si="3"/>
        <v/>
      </c>
      <c r="AG20" s="701" t="s">
        <v>242</v>
      </c>
      <c r="AH20" s="702"/>
      <c r="AI20" s="702"/>
      <c r="AJ20" s="2"/>
      <c r="AK20" s="339" t="str">
        <f>IF(AJ20=0,"",AL20/AJ20)</f>
        <v/>
      </c>
      <c r="AL20" s="708"/>
      <c r="AM20" s="709"/>
      <c r="AN20" s="337" t="str">
        <f t="shared" si="4"/>
        <v/>
      </c>
      <c r="AO20" s="701" t="s">
        <v>242</v>
      </c>
      <c r="AP20" s="702"/>
      <c r="AQ20" s="702"/>
      <c r="AR20" s="2"/>
      <c r="AS20" s="339" t="str">
        <f>IF(AR20=0,"",AT20/AR20)</f>
        <v/>
      </c>
      <c r="AT20" s="708"/>
      <c r="AU20" s="709"/>
      <c r="AV20" s="337" t="str">
        <f t="shared" si="5"/>
        <v/>
      </c>
      <c r="AW20" s="701" t="s">
        <v>242</v>
      </c>
      <c r="AX20" s="702"/>
      <c r="AY20" s="702"/>
      <c r="AZ20" s="2"/>
      <c r="BA20" s="339" t="str">
        <f>IF(AZ20=0,"",BB20/AZ20)</f>
        <v/>
      </c>
      <c r="BB20" s="708"/>
      <c r="BC20" s="709"/>
      <c r="BD20" s="337" t="str">
        <f t="shared" si="6"/>
        <v/>
      </c>
      <c r="BE20" s="701" t="s">
        <v>242</v>
      </c>
      <c r="BF20" s="702"/>
      <c r="BG20" s="702"/>
      <c r="BH20" s="2"/>
      <c r="BI20" s="339" t="str">
        <f>IF(BH20=0,"",BJ20/BH20)</f>
        <v/>
      </c>
      <c r="BJ20" s="708"/>
      <c r="BK20" s="709"/>
      <c r="BL20" s="337" t="str">
        <f t="shared" si="7"/>
        <v/>
      </c>
    </row>
    <row r="21" spans="1:64" x14ac:dyDescent="0.5">
      <c r="A21" s="701" t="s">
        <v>243</v>
      </c>
      <c r="B21" s="702"/>
      <c r="C21" s="702"/>
      <c r="D21" s="2"/>
      <c r="E21" s="339" t="str">
        <f>IF(D21=0,"",F21/D21)</f>
        <v/>
      </c>
      <c r="F21" s="708"/>
      <c r="G21" s="709"/>
      <c r="H21" s="337" t="str">
        <f t="shared" si="0"/>
        <v/>
      </c>
      <c r="I21" s="701" t="s">
        <v>243</v>
      </c>
      <c r="J21" s="702"/>
      <c r="K21" s="702"/>
      <c r="L21" s="2"/>
      <c r="M21" s="339" t="str">
        <f>IF(L21=0,"",N21/L21)</f>
        <v/>
      </c>
      <c r="N21" s="708"/>
      <c r="O21" s="709"/>
      <c r="P21" s="337" t="str">
        <f t="shared" si="1"/>
        <v/>
      </c>
      <c r="Q21" s="701" t="s">
        <v>243</v>
      </c>
      <c r="R21" s="702"/>
      <c r="S21" s="702"/>
      <c r="T21" s="2"/>
      <c r="U21" s="339" t="str">
        <f>IF(T21=0,"",V21/T21)</f>
        <v/>
      </c>
      <c r="V21" s="708"/>
      <c r="W21" s="709"/>
      <c r="X21" s="337" t="str">
        <f t="shared" si="2"/>
        <v/>
      </c>
      <c r="Y21" s="701" t="s">
        <v>243</v>
      </c>
      <c r="Z21" s="702"/>
      <c r="AA21" s="702"/>
      <c r="AB21" s="2"/>
      <c r="AC21" s="339" t="str">
        <f>IF(AB21=0,"",AD21/AB21)</f>
        <v/>
      </c>
      <c r="AD21" s="708"/>
      <c r="AE21" s="709"/>
      <c r="AF21" s="337" t="str">
        <f t="shared" si="3"/>
        <v/>
      </c>
      <c r="AG21" s="701" t="s">
        <v>243</v>
      </c>
      <c r="AH21" s="702"/>
      <c r="AI21" s="702"/>
      <c r="AJ21" s="2"/>
      <c r="AK21" s="339" t="str">
        <f>IF(AJ21=0,"",AL21/AJ21)</f>
        <v/>
      </c>
      <c r="AL21" s="708"/>
      <c r="AM21" s="709"/>
      <c r="AN21" s="337" t="str">
        <f t="shared" si="4"/>
        <v/>
      </c>
      <c r="AO21" s="701" t="s">
        <v>243</v>
      </c>
      <c r="AP21" s="702"/>
      <c r="AQ21" s="702"/>
      <c r="AR21" s="2"/>
      <c r="AS21" s="339" t="str">
        <f>IF(AR21=0,"",AT21/AR21)</f>
        <v/>
      </c>
      <c r="AT21" s="708"/>
      <c r="AU21" s="709"/>
      <c r="AV21" s="337" t="str">
        <f t="shared" si="5"/>
        <v/>
      </c>
      <c r="AW21" s="701" t="s">
        <v>243</v>
      </c>
      <c r="AX21" s="702"/>
      <c r="AY21" s="702"/>
      <c r="AZ21" s="2"/>
      <c r="BA21" s="339" t="str">
        <f>IF(AZ21=0,"",BB21/AZ21)</f>
        <v/>
      </c>
      <c r="BB21" s="708"/>
      <c r="BC21" s="709"/>
      <c r="BD21" s="337" t="str">
        <f t="shared" si="6"/>
        <v/>
      </c>
      <c r="BE21" s="701" t="s">
        <v>243</v>
      </c>
      <c r="BF21" s="702"/>
      <c r="BG21" s="702"/>
      <c r="BH21" s="2"/>
      <c r="BI21" s="339" t="str">
        <f>IF(BH21=0,"",BJ21/BH21)</f>
        <v/>
      </c>
      <c r="BJ21" s="708"/>
      <c r="BK21" s="709"/>
      <c r="BL21" s="337" t="str">
        <f t="shared" si="7"/>
        <v/>
      </c>
    </row>
    <row r="22" spans="1:64" x14ac:dyDescent="0.5">
      <c r="A22" s="701" t="s">
        <v>244</v>
      </c>
      <c r="B22" s="702"/>
      <c r="C22" s="702"/>
      <c r="D22" s="2"/>
      <c r="E22" s="339" t="str">
        <f>IF(D22=0,"",F22/D22)</f>
        <v/>
      </c>
      <c r="F22" s="708"/>
      <c r="G22" s="709"/>
      <c r="H22" s="337" t="str">
        <f t="shared" si="0"/>
        <v/>
      </c>
      <c r="I22" s="701" t="s">
        <v>244</v>
      </c>
      <c r="J22" s="702"/>
      <c r="K22" s="702"/>
      <c r="L22" s="2"/>
      <c r="M22" s="339" t="str">
        <f>IF(L22=0,"",N22/L22)</f>
        <v/>
      </c>
      <c r="N22" s="708"/>
      <c r="O22" s="709"/>
      <c r="P22" s="337" t="str">
        <f t="shared" si="1"/>
        <v/>
      </c>
      <c r="Q22" s="701" t="s">
        <v>244</v>
      </c>
      <c r="R22" s="702"/>
      <c r="S22" s="702"/>
      <c r="T22" s="2"/>
      <c r="U22" s="339" t="str">
        <f>IF(T22=0,"",V22/T22)</f>
        <v/>
      </c>
      <c r="V22" s="708"/>
      <c r="W22" s="709"/>
      <c r="X22" s="337" t="str">
        <f t="shared" si="2"/>
        <v/>
      </c>
      <c r="Y22" s="701" t="s">
        <v>244</v>
      </c>
      <c r="Z22" s="702"/>
      <c r="AA22" s="702"/>
      <c r="AB22" s="2"/>
      <c r="AC22" s="339" t="str">
        <f>IF(AB22=0,"",AD22/AB22)</f>
        <v/>
      </c>
      <c r="AD22" s="708"/>
      <c r="AE22" s="709"/>
      <c r="AF22" s="337" t="str">
        <f t="shared" si="3"/>
        <v/>
      </c>
      <c r="AG22" s="701" t="s">
        <v>244</v>
      </c>
      <c r="AH22" s="702"/>
      <c r="AI22" s="702"/>
      <c r="AJ22" s="2"/>
      <c r="AK22" s="339" t="str">
        <f>IF(AJ22=0,"",AL22/AJ22)</f>
        <v/>
      </c>
      <c r="AL22" s="708"/>
      <c r="AM22" s="709"/>
      <c r="AN22" s="337" t="str">
        <f t="shared" si="4"/>
        <v/>
      </c>
      <c r="AO22" s="701" t="s">
        <v>244</v>
      </c>
      <c r="AP22" s="702"/>
      <c r="AQ22" s="702"/>
      <c r="AR22" s="2"/>
      <c r="AS22" s="339" t="str">
        <f>IF(AR22=0,"",AT22/AR22)</f>
        <v/>
      </c>
      <c r="AT22" s="708"/>
      <c r="AU22" s="709"/>
      <c r="AV22" s="337" t="str">
        <f t="shared" si="5"/>
        <v/>
      </c>
      <c r="AW22" s="701" t="s">
        <v>244</v>
      </c>
      <c r="AX22" s="702"/>
      <c r="AY22" s="702"/>
      <c r="AZ22" s="2"/>
      <c r="BA22" s="339" t="str">
        <f>IF(AZ22=0,"",BB22/AZ22)</f>
        <v/>
      </c>
      <c r="BB22" s="708"/>
      <c r="BC22" s="709"/>
      <c r="BD22" s="337" t="str">
        <f t="shared" si="6"/>
        <v/>
      </c>
      <c r="BE22" s="701" t="s">
        <v>244</v>
      </c>
      <c r="BF22" s="702"/>
      <c r="BG22" s="702"/>
      <c r="BH22" s="2"/>
      <c r="BI22" s="339" t="str">
        <f>IF(BH22=0,"",BJ22/BH22)</f>
        <v/>
      </c>
      <c r="BJ22" s="708"/>
      <c r="BK22" s="709"/>
      <c r="BL22" s="337" t="str">
        <f t="shared" si="7"/>
        <v/>
      </c>
    </row>
    <row r="23" spans="1:64" ht="18.600000000000001" thickBot="1" x14ac:dyDescent="0.55000000000000004">
      <c r="A23" s="710" t="s">
        <v>245</v>
      </c>
      <c r="B23" s="711"/>
      <c r="C23" s="711"/>
      <c r="D23" s="3"/>
      <c r="E23" s="104" t="str">
        <f>IF(D23=0,"",F23/D23)</f>
        <v/>
      </c>
      <c r="F23" s="708"/>
      <c r="G23" s="709"/>
      <c r="H23" s="105" t="str">
        <f t="shared" si="0"/>
        <v/>
      </c>
      <c r="I23" s="710" t="s">
        <v>245</v>
      </c>
      <c r="J23" s="711"/>
      <c r="K23" s="711"/>
      <c r="L23" s="3"/>
      <c r="M23" s="104" t="str">
        <f>IF(L23=0,"",N23/L23)</f>
        <v/>
      </c>
      <c r="N23" s="708"/>
      <c r="O23" s="709"/>
      <c r="P23" s="105" t="str">
        <f t="shared" si="1"/>
        <v/>
      </c>
      <c r="Q23" s="710" t="s">
        <v>245</v>
      </c>
      <c r="R23" s="711"/>
      <c r="S23" s="711"/>
      <c r="T23" s="3"/>
      <c r="U23" s="104" t="str">
        <f>IF(T23=0,"",V23/T23)</f>
        <v/>
      </c>
      <c r="V23" s="708"/>
      <c r="W23" s="709"/>
      <c r="X23" s="105" t="str">
        <f t="shared" si="2"/>
        <v/>
      </c>
      <c r="Y23" s="710" t="s">
        <v>245</v>
      </c>
      <c r="Z23" s="711"/>
      <c r="AA23" s="711"/>
      <c r="AB23" s="3"/>
      <c r="AC23" s="104" t="str">
        <f>IF(AB23=0,"",AD23/AB23)</f>
        <v/>
      </c>
      <c r="AD23" s="708"/>
      <c r="AE23" s="709"/>
      <c r="AF23" s="105" t="str">
        <f t="shared" si="3"/>
        <v/>
      </c>
      <c r="AG23" s="710" t="s">
        <v>245</v>
      </c>
      <c r="AH23" s="711"/>
      <c r="AI23" s="711"/>
      <c r="AJ23" s="3"/>
      <c r="AK23" s="104" t="str">
        <f>IF(AJ23=0,"",AL23/AJ23)</f>
        <v/>
      </c>
      <c r="AL23" s="708"/>
      <c r="AM23" s="709"/>
      <c r="AN23" s="105" t="str">
        <f t="shared" si="4"/>
        <v/>
      </c>
      <c r="AO23" s="710" t="s">
        <v>245</v>
      </c>
      <c r="AP23" s="711"/>
      <c r="AQ23" s="711"/>
      <c r="AR23" s="3"/>
      <c r="AS23" s="104" t="str">
        <f>IF(AR23=0,"",AT23/AR23)</f>
        <v/>
      </c>
      <c r="AT23" s="708"/>
      <c r="AU23" s="709"/>
      <c r="AV23" s="105" t="str">
        <f t="shared" si="5"/>
        <v/>
      </c>
      <c r="AW23" s="710" t="s">
        <v>245</v>
      </c>
      <c r="AX23" s="711"/>
      <c r="AY23" s="711"/>
      <c r="AZ23" s="3"/>
      <c r="BA23" s="104" t="str">
        <f>IF(AZ23=0,"",BB23/AZ23)</f>
        <v/>
      </c>
      <c r="BB23" s="708"/>
      <c r="BC23" s="709"/>
      <c r="BD23" s="105" t="str">
        <f t="shared" si="6"/>
        <v/>
      </c>
      <c r="BE23" s="710" t="s">
        <v>245</v>
      </c>
      <c r="BF23" s="711"/>
      <c r="BG23" s="711"/>
      <c r="BH23" s="3"/>
      <c r="BI23" s="104" t="str">
        <f>IF(BH23=0,"",BJ23/BH23)</f>
        <v/>
      </c>
      <c r="BJ23" s="708"/>
      <c r="BK23" s="709"/>
      <c r="BL23" s="105" t="str">
        <f t="shared" si="7"/>
        <v/>
      </c>
    </row>
    <row r="24" spans="1:64" ht="18.600000000000001" thickBot="1" x14ac:dyDescent="0.55000000000000004">
      <c r="A24" s="698" t="s">
        <v>66</v>
      </c>
      <c r="B24" s="699"/>
      <c r="C24" s="699"/>
      <c r="D24" s="699"/>
      <c r="E24" s="699"/>
      <c r="F24" s="712">
        <f>F6+F10+F12+F16+F18</f>
        <v>0</v>
      </c>
      <c r="G24" s="712"/>
      <c r="H24" s="108" t="str">
        <f>IF(B$3=0,"",F24/B$3)</f>
        <v/>
      </c>
      <c r="I24" s="698" t="s">
        <v>66</v>
      </c>
      <c r="J24" s="699"/>
      <c r="K24" s="699"/>
      <c r="L24" s="699"/>
      <c r="M24" s="699"/>
      <c r="N24" s="712">
        <f>N6+N10+N12+N16+N18</f>
        <v>0</v>
      </c>
      <c r="O24" s="712"/>
      <c r="P24" s="108" t="str">
        <f>IF(J$3=0,"",N24/J$3)</f>
        <v/>
      </c>
      <c r="Q24" s="698" t="s">
        <v>66</v>
      </c>
      <c r="R24" s="699"/>
      <c r="S24" s="699"/>
      <c r="T24" s="699"/>
      <c r="U24" s="699"/>
      <c r="V24" s="712">
        <f>V6+V10+V12+V16+V18</f>
        <v>0</v>
      </c>
      <c r="W24" s="712"/>
      <c r="X24" s="108" t="str">
        <f>IF(R$3=0,"",V24/R$3)</f>
        <v/>
      </c>
      <c r="Y24" s="698" t="s">
        <v>66</v>
      </c>
      <c r="Z24" s="699"/>
      <c r="AA24" s="699"/>
      <c r="AB24" s="699"/>
      <c r="AC24" s="699"/>
      <c r="AD24" s="712">
        <f>AD6+AD10+AD12+AD16+AD18</f>
        <v>0</v>
      </c>
      <c r="AE24" s="712"/>
      <c r="AF24" s="108" t="str">
        <f>IF(Z$3=0,"",AD24/Z$3)</f>
        <v/>
      </c>
      <c r="AG24" s="698" t="s">
        <v>66</v>
      </c>
      <c r="AH24" s="699"/>
      <c r="AI24" s="699"/>
      <c r="AJ24" s="699"/>
      <c r="AK24" s="699"/>
      <c r="AL24" s="712">
        <f>AL6+AL10+AL12+AL16+AL18</f>
        <v>0</v>
      </c>
      <c r="AM24" s="712"/>
      <c r="AN24" s="108" t="str">
        <f>IF(AH$3=0,"",AL24/AH$3)</f>
        <v/>
      </c>
      <c r="AO24" s="698" t="s">
        <v>66</v>
      </c>
      <c r="AP24" s="699"/>
      <c r="AQ24" s="699"/>
      <c r="AR24" s="699"/>
      <c r="AS24" s="699"/>
      <c r="AT24" s="712">
        <f>AT6+AT10+AT12+AT16+AT18</f>
        <v>0</v>
      </c>
      <c r="AU24" s="712"/>
      <c r="AV24" s="108" t="str">
        <f>IF(AP$3=0,"",AT24/AP$3)</f>
        <v/>
      </c>
      <c r="AW24" s="698" t="s">
        <v>66</v>
      </c>
      <c r="AX24" s="699"/>
      <c r="AY24" s="699"/>
      <c r="AZ24" s="699"/>
      <c r="BA24" s="699"/>
      <c r="BB24" s="712">
        <f>BB6+BB10+BB12+BB16+BB18</f>
        <v>0</v>
      </c>
      <c r="BC24" s="712"/>
      <c r="BD24" s="108" t="str">
        <f>IF(AX$3=0,"",BB24/AX$3)</f>
        <v/>
      </c>
      <c r="BE24" s="698" t="s">
        <v>66</v>
      </c>
      <c r="BF24" s="699"/>
      <c r="BG24" s="699"/>
      <c r="BH24" s="699"/>
      <c r="BI24" s="699"/>
      <c r="BJ24" s="712">
        <f>BJ6+BJ10+BJ12+BJ16+BJ18</f>
        <v>0</v>
      </c>
      <c r="BK24" s="712"/>
      <c r="BL24" s="108" t="str">
        <f>IF(BF$3=0,"",BJ24/BF$3)</f>
        <v/>
      </c>
    </row>
    <row r="25" spans="1:64" ht="18.600000000000001" thickBot="1" x14ac:dyDescent="0.55000000000000004"/>
    <row r="26" spans="1:64" ht="34.200000000000003" thickBot="1" x14ac:dyDescent="0.55000000000000004">
      <c r="A26" s="705" t="s">
        <v>246</v>
      </c>
      <c r="B26" s="706"/>
      <c r="C26" s="706"/>
      <c r="D26" s="333" t="s">
        <v>225</v>
      </c>
      <c r="E26" s="334" t="s">
        <v>226</v>
      </c>
      <c r="F26" s="706" t="s">
        <v>66</v>
      </c>
      <c r="G26" s="706"/>
      <c r="H26" s="335" t="s">
        <v>227</v>
      </c>
      <c r="I26" s="705" t="s">
        <v>246</v>
      </c>
      <c r="J26" s="706"/>
      <c r="K26" s="706"/>
      <c r="L26" s="333" t="s">
        <v>225</v>
      </c>
      <c r="M26" s="334" t="s">
        <v>226</v>
      </c>
      <c r="N26" s="706" t="s">
        <v>66</v>
      </c>
      <c r="O26" s="706"/>
      <c r="P26" s="335" t="s">
        <v>227</v>
      </c>
      <c r="Q26" s="705" t="s">
        <v>246</v>
      </c>
      <c r="R26" s="706"/>
      <c r="S26" s="706"/>
      <c r="T26" s="333" t="s">
        <v>225</v>
      </c>
      <c r="U26" s="334" t="s">
        <v>226</v>
      </c>
      <c r="V26" s="706" t="s">
        <v>66</v>
      </c>
      <c r="W26" s="706"/>
      <c r="X26" s="335" t="s">
        <v>227</v>
      </c>
      <c r="Y26" s="705" t="s">
        <v>246</v>
      </c>
      <c r="Z26" s="706"/>
      <c r="AA26" s="706"/>
      <c r="AB26" s="333" t="s">
        <v>225</v>
      </c>
      <c r="AC26" s="334" t="s">
        <v>226</v>
      </c>
      <c r="AD26" s="706" t="s">
        <v>66</v>
      </c>
      <c r="AE26" s="706"/>
      <c r="AF26" s="335" t="s">
        <v>227</v>
      </c>
      <c r="AG26" s="705" t="s">
        <v>246</v>
      </c>
      <c r="AH26" s="706"/>
      <c r="AI26" s="706"/>
      <c r="AJ26" s="333" t="s">
        <v>225</v>
      </c>
      <c r="AK26" s="334" t="s">
        <v>226</v>
      </c>
      <c r="AL26" s="706" t="s">
        <v>66</v>
      </c>
      <c r="AM26" s="706"/>
      <c r="AN26" s="335" t="s">
        <v>227</v>
      </c>
      <c r="AO26" s="705" t="s">
        <v>246</v>
      </c>
      <c r="AP26" s="706"/>
      <c r="AQ26" s="706"/>
      <c r="AR26" s="333" t="s">
        <v>225</v>
      </c>
      <c r="AS26" s="334" t="s">
        <v>226</v>
      </c>
      <c r="AT26" s="706" t="s">
        <v>66</v>
      </c>
      <c r="AU26" s="706"/>
      <c r="AV26" s="335" t="s">
        <v>227</v>
      </c>
      <c r="AW26" s="705" t="s">
        <v>246</v>
      </c>
      <c r="AX26" s="706"/>
      <c r="AY26" s="706"/>
      <c r="AZ26" s="333" t="s">
        <v>225</v>
      </c>
      <c r="BA26" s="334" t="s">
        <v>226</v>
      </c>
      <c r="BB26" s="706" t="s">
        <v>66</v>
      </c>
      <c r="BC26" s="706"/>
      <c r="BD26" s="335" t="s">
        <v>227</v>
      </c>
      <c r="BE26" s="705" t="s">
        <v>246</v>
      </c>
      <c r="BF26" s="706"/>
      <c r="BG26" s="706"/>
      <c r="BH26" s="333" t="s">
        <v>225</v>
      </c>
      <c r="BI26" s="334" t="s">
        <v>226</v>
      </c>
      <c r="BJ26" s="706" t="s">
        <v>66</v>
      </c>
      <c r="BK26" s="706"/>
      <c r="BL26" s="335" t="s">
        <v>227</v>
      </c>
    </row>
    <row r="27" spans="1:64" x14ac:dyDescent="0.5">
      <c r="A27" s="701" t="s">
        <v>247</v>
      </c>
      <c r="B27" s="702"/>
      <c r="C27" s="702"/>
      <c r="D27" s="2"/>
      <c r="E27" s="346">
        <f>Références!K6</f>
        <v>185</v>
      </c>
      <c r="F27" s="707">
        <f>D27*E27</f>
        <v>0</v>
      </c>
      <c r="G27" s="703"/>
      <c r="H27" s="337" t="str">
        <f>IF(B$3=0,"",F27/B$3)</f>
        <v/>
      </c>
      <c r="I27" s="701" t="s">
        <v>247</v>
      </c>
      <c r="J27" s="702"/>
      <c r="K27" s="702"/>
      <c r="L27" s="2"/>
      <c r="M27" s="346">
        <f>Références!K6</f>
        <v>185</v>
      </c>
      <c r="N27" s="707">
        <f>L27*M27</f>
        <v>0</v>
      </c>
      <c r="O27" s="703"/>
      <c r="P27" s="337" t="str">
        <f>IF(J$3=0,"",N27/J$3)</f>
        <v/>
      </c>
      <c r="Q27" s="701" t="s">
        <v>247</v>
      </c>
      <c r="R27" s="702"/>
      <c r="S27" s="702"/>
      <c r="T27" s="2"/>
      <c r="U27" s="346">
        <f>Références!K6</f>
        <v>185</v>
      </c>
      <c r="V27" s="707">
        <f>T27*U27</f>
        <v>0</v>
      </c>
      <c r="W27" s="703"/>
      <c r="X27" s="337" t="str">
        <f>IF(R$3=0,"",V27/R$3)</f>
        <v/>
      </c>
      <c r="Y27" s="701" t="s">
        <v>247</v>
      </c>
      <c r="Z27" s="702"/>
      <c r="AA27" s="702"/>
      <c r="AB27" s="2"/>
      <c r="AC27" s="346">
        <f>Références!K6</f>
        <v>185</v>
      </c>
      <c r="AD27" s="707">
        <f>AB27*AC27</f>
        <v>0</v>
      </c>
      <c r="AE27" s="703"/>
      <c r="AF27" s="337" t="str">
        <f>IF(Z$3=0,"",AD27/Z$3)</f>
        <v/>
      </c>
      <c r="AG27" s="701" t="s">
        <v>247</v>
      </c>
      <c r="AH27" s="702"/>
      <c r="AI27" s="702"/>
      <c r="AJ27" s="2"/>
      <c r="AK27" s="346">
        <f>Références!K6</f>
        <v>185</v>
      </c>
      <c r="AL27" s="707">
        <f>AJ27*AK27</f>
        <v>0</v>
      </c>
      <c r="AM27" s="703"/>
      <c r="AN27" s="337" t="str">
        <f>IF(AH$3=0,"",AL27/AH$3)</f>
        <v/>
      </c>
      <c r="AO27" s="701" t="s">
        <v>247</v>
      </c>
      <c r="AP27" s="702"/>
      <c r="AQ27" s="702"/>
      <c r="AR27" s="2"/>
      <c r="AS27" s="346">
        <f>Références!K6</f>
        <v>185</v>
      </c>
      <c r="AT27" s="707">
        <f>AR27*AS27</f>
        <v>0</v>
      </c>
      <c r="AU27" s="703"/>
      <c r="AV27" s="337" t="str">
        <f>IF(AP$3=0,"",AT27/AP$3)</f>
        <v/>
      </c>
      <c r="AW27" s="701" t="s">
        <v>247</v>
      </c>
      <c r="AX27" s="702"/>
      <c r="AY27" s="702"/>
      <c r="AZ27" s="2"/>
      <c r="BA27" s="346">
        <f>Références!K6</f>
        <v>185</v>
      </c>
      <c r="BB27" s="707">
        <f>AZ27*BA27</f>
        <v>0</v>
      </c>
      <c r="BC27" s="703"/>
      <c r="BD27" s="337" t="str">
        <f>IF(AX$3=0,"",BB27/AX$3)</f>
        <v/>
      </c>
      <c r="BE27" s="701" t="s">
        <v>247</v>
      </c>
      <c r="BF27" s="702"/>
      <c r="BG27" s="702"/>
      <c r="BH27" s="2"/>
      <c r="BI27" s="346">
        <f>Références!K6</f>
        <v>185</v>
      </c>
      <c r="BJ27" s="707">
        <f>BH27*BI27</f>
        <v>0</v>
      </c>
      <c r="BK27" s="703"/>
      <c r="BL27" s="337" t="str">
        <f>IF(BF$3=0,"",BJ27/BF$3)</f>
        <v/>
      </c>
    </row>
    <row r="28" spans="1:64" x14ac:dyDescent="0.5">
      <c r="A28" s="701" t="s">
        <v>248</v>
      </c>
      <c r="B28" s="702"/>
      <c r="C28" s="702"/>
      <c r="D28" s="2"/>
      <c r="E28" s="339" t="str">
        <f>IF(D28=0,"",F28/D28)</f>
        <v/>
      </c>
      <c r="F28" s="703"/>
      <c r="G28" s="703"/>
      <c r="H28" s="337" t="str">
        <f t="shared" ref="H28:H33" si="8">IF(B$3=0,"",F28/B$3)</f>
        <v/>
      </c>
      <c r="I28" s="701" t="s">
        <v>248</v>
      </c>
      <c r="J28" s="702"/>
      <c r="K28" s="702"/>
      <c r="L28" s="2"/>
      <c r="M28" s="339" t="str">
        <f>IF(L28=0,"",N28/L28)</f>
        <v/>
      </c>
      <c r="N28" s="703"/>
      <c r="O28" s="703"/>
      <c r="P28" s="337" t="str">
        <f t="shared" ref="P28:P33" si="9">IF(J$3=0,"",N28/J$3)</f>
        <v/>
      </c>
      <c r="Q28" s="701" t="s">
        <v>248</v>
      </c>
      <c r="R28" s="702"/>
      <c r="S28" s="702"/>
      <c r="T28" s="2"/>
      <c r="U28" s="339" t="str">
        <f>IF(T28=0,"",V28/T28)</f>
        <v/>
      </c>
      <c r="V28" s="703"/>
      <c r="W28" s="703"/>
      <c r="X28" s="337" t="str">
        <f t="shared" ref="X28:X33" si="10">IF(R$3=0,"",V28/R$3)</f>
        <v/>
      </c>
      <c r="Y28" s="701" t="s">
        <v>248</v>
      </c>
      <c r="Z28" s="702"/>
      <c r="AA28" s="702"/>
      <c r="AB28" s="2"/>
      <c r="AC28" s="339" t="str">
        <f>IF(AB28=0,"",AD28/AB28)</f>
        <v/>
      </c>
      <c r="AD28" s="703"/>
      <c r="AE28" s="703"/>
      <c r="AF28" s="337" t="str">
        <f t="shared" ref="AF28:AF33" si="11">IF(Z$3=0,"",AD28/Z$3)</f>
        <v/>
      </c>
      <c r="AG28" s="701" t="s">
        <v>248</v>
      </c>
      <c r="AH28" s="702"/>
      <c r="AI28" s="702"/>
      <c r="AJ28" s="2"/>
      <c r="AK28" s="339" t="str">
        <f>IF(AJ28=0,"",AL28/AJ28)</f>
        <v/>
      </c>
      <c r="AL28" s="703"/>
      <c r="AM28" s="703"/>
      <c r="AN28" s="337" t="str">
        <f t="shared" ref="AN28:AN33" si="12">IF(AH$3=0,"",AL28/AH$3)</f>
        <v/>
      </c>
      <c r="AO28" s="701" t="s">
        <v>248</v>
      </c>
      <c r="AP28" s="702"/>
      <c r="AQ28" s="702"/>
      <c r="AR28" s="2"/>
      <c r="AS28" s="339" t="str">
        <f>IF(AR28=0,"",AT28/AR28)</f>
        <v/>
      </c>
      <c r="AT28" s="703"/>
      <c r="AU28" s="703"/>
      <c r="AV28" s="337" t="str">
        <f t="shared" ref="AV28:AV33" si="13">IF(AP$3=0,"",AT28/AP$3)</f>
        <v/>
      </c>
      <c r="AW28" s="701" t="s">
        <v>248</v>
      </c>
      <c r="AX28" s="702"/>
      <c r="AY28" s="702"/>
      <c r="AZ28" s="2"/>
      <c r="BA28" s="339" t="str">
        <f>IF(AZ28=0,"",BB28/AZ28)</f>
        <v/>
      </c>
      <c r="BB28" s="703"/>
      <c r="BC28" s="703"/>
      <c r="BD28" s="337" t="str">
        <f t="shared" ref="BD28:BD33" si="14">IF(AX$3=0,"",BB28/AX$3)</f>
        <v/>
      </c>
      <c r="BE28" s="701" t="s">
        <v>248</v>
      </c>
      <c r="BF28" s="702"/>
      <c r="BG28" s="702"/>
      <c r="BH28" s="2"/>
      <c r="BI28" s="339" t="str">
        <f>IF(BH28=0,"",BJ28/BH28)</f>
        <v/>
      </c>
      <c r="BJ28" s="703"/>
      <c r="BK28" s="703"/>
      <c r="BL28" s="337" t="str">
        <f t="shared" ref="BL28:BL33" si="15">IF(BF$3=0,"",BJ28/BF$3)</f>
        <v/>
      </c>
    </row>
    <row r="29" spans="1:64" x14ac:dyDescent="0.5">
      <c r="A29" s="701" t="s">
        <v>249</v>
      </c>
      <c r="B29" s="702"/>
      <c r="C29" s="702"/>
      <c r="D29" s="2"/>
      <c r="E29" s="339" t="str">
        <f>IF(D29=0,"",F29/D29)</f>
        <v/>
      </c>
      <c r="F29" s="703"/>
      <c r="G29" s="703"/>
      <c r="H29" s="337" t="str">
        <f t="shared" si="8"/>
        <v/>
      </c>
      <c r="I29" s="701" t="s">
        <v>249</v>
      </c>
      <c r="J29" s="702"/>
      <c r="K29" s="702"/>
      <c r="L29" s="2"/>
      <c r="M29" s="339" t="str">
        <f>IF(L29=0,"",N29/L29)</f>
        <v/>
      </c>
      <c r="N29" s="703"/>
      <c r="O29" s="703"/>
      <c r="P29" s="337" t="str">
        <f t="shared" si="9"/>
        <v/>
      </c>
      <c r="Q29" s="701" t="s">
        <v>249</v>
      </c>
      <c r="R29" s="702"/>
      <c r="S29" s="702"/>
      <c r="T29" s="2"/>
      <c r="U29" s="339" t="str">
        <f>IF(T29=0,"",V29/T29)</f>
        <v/>
      </c>
      <c r="V29" s="703"/>
      <c r="W29" s="703"/>
      <c r="X29" s="337" t="str">
        <f t="shared" si="10"/>
        <v/>
      </c>
      <c r="Y29" s="701" t="s">
        <v>249</v>
      </c>
      <c r="Z29" s="702"/>
      <c r="AA29" s="702"/>
      <c r="AB29" s="2"/>
      <c r="AC29" s="339" t="str">
        <f>IF(AB29=0,"",AD29/AB29)</f>
        <v/>
      </c>
      <c r="AD29" s="703"/>
      <c r="AE29" s="703"/>
      <c r="AF29" s="337" t="str">
        <f t="shared" si="11"/>
        <v/>
      </c>
      <c r="AG29" s="701" t="s">
        <v>249</v>
      </c>
      <c r="AH29" s="702"/>
      <c r="AI29" s="702"/>
      <c r="AJ29" s="2"/>
      <c r="AK29" s="339" t="str">
        <f>IF(AJ29=0,"",AL29/AJ29)</f>
        <v/>
      </c>
      <c r="AL29" s="703"/>
      <c r="AM29" s="703"/>
      <c r="AN29" s="337" t="str">
        <f t="shared" si="12"/>
        <v/>
      </c>
      <c r="AO29" s="701" t="s">
        <v>249</v>
      </c>
      <c r="AP29" s="702"/>
      <c r="AQ29" s="702"/>
      <c r="AR29" s="2"/>
      <c r="AS29" s="339" t="str">
        <f>IF(AR29=0,"",AT29/AR29)</f>
        <v/>
      </c>
      <c r="AT29" s="703"/>
      <c r="AU29" s="703"/>
      <c r="AV29" s="337" t="str">
        <f t="shared" si="13"/>
        <v/>
      </c>
      <c r="AW29" s="701" t="s">
        <v>249</v>
      </c>
      <c r="AX29" s="702"/>
      <c r="AY29" s="702"/>
      <c r="AZ29" s="2"/>
      <c r="BA29" s="339" t="str">
        <f>IF(AZ29=0,"",BB29/AZ29)</f>
        <v/>
      </c>
      <c r="BB29" s="703"/>
      <c r="BC29" s="703"/>
      <c r="BD29" s="337" t="str">
        <f t="shared" si="14"/>
        <v/>
      </c>
      <c r="BE29" s="701" t="s">
        <v>249</v>
      </c>
      <c r="BF29" s="702"/>
      <c r="BG29" s="702"/>
      <c r="BH29" s="2"/>
      <c r="BI29" s="339" t="str">
        <f>IF(BH29=0,"",BJ29/BH29)</f>
        <v/>
      </c>
      <c r="BJ29" s="703"/>
      <c r="BK29" s="703"/>
      <c r="BL29" s="337" t="str">
        <f t="shared" si="15"/>
        <v/>
      </c>
    </row>
    <row r="30" spans="1:64" x14ac:dyDescent="0.5">
      <c r="A30" s="701" t="s">
        <v>250</v>
      </c>
      <c r="B30" s="702"/>
      <c r="C30" s="702"/>
      <c r="D30" s="2"/>
      <c r="E30" s="339">
        <f>Références!K7</f>
        <v>90</v>
      </c>
      <c r="F30" s="703">
        <f>D30*E30</f>
        <v>0</v>
      </c>
      <c r="G30" s="703"/>
      <c r="H30" s="337" t="str">
        <f t="shared" si="8"/>
        <v/>
      </c>
      <c r="I30" s="701" t="s">
        <v>250</v>
      </c>
      <c r="J30" s="702"/>
      <c r="K30" s="702"/>
      <c r="L30" s="2"/>
      <c r="M30" s="339">
        <f>Références!K7</f>
        <v>90</v>
      </c>
      <c r="N30" s="703">
        <f>L30*M30</f>
        <v>0</v>
      </c>
      <c r="O30" s="703"/>
      <c r="P30" s="337" t="str">
        <f t="shared" si="9"/>
        <v/>
      </c>
      <c r="Q30" s="701" t="s">
        <v>250</v>
      </c>
      <c r="R30" s="702"/>
      <c r="S30" s="702"/>
      <c r="T30" s="2"/>
      <c r="U30" s="339">
        <f>Références!K7</f>
        <v>90</v>
      </c>
      <c r="V30" s="703">
        <f>T30*U30</f>
        <v>0</v>
      </c>
      <c r="W30" s="703"/>
      <c r="X30" s="337" t="str">
        <f t="shared" si="10"/>
        <v/>
      </c>
      <c r="Y30" s="701" t="s">
        <v>250</v>
      </c>
      <c r="Z30" s="702"/>
      <c r="AA30" s="702"/>
      <c r="AB30" s="2"/>
      <c r="AC30" s="339">
        <f>Références!K7</f>
        <v>90</v>
      </c>
      <c r="AD30" s="703">
        <f>AB30*AC30</f>
        <v>0</v>
      </c>
      <c r="AE30" s="703"/>
      <c r="AF30" s="337" t="str">
        <f t="shared" si="11"/>
        <v/>
      </c>
      <c r="AG30" s="701" t="s">
        <v>250</v>
      </c>
      <c r="AH30" s="702"/>
      <c r="AI30" s="702"/>
      <c r="AJ30" s="2"/>
      <c r="AK30" s="339">
        <f>Références!K7</f>
        <v>90</v>
      </c>
      <c r="AL30" s="703">
        <f>AJ30*AK30</f>
        <v>0</v>
      </c>
      <c r="AM30" s="703"/>
      <c r="AN30" s="337" t="str">
        <f t="shared" si="12"/>
        <v/>
      </c>
      <c r="AO30" s="701" t="s">
        <v>250</v>
      </c>
      <c r="AP30" s="702"/>
      <c r="AQ30" s="702"/>
      <c r="AR30" s="2"/>
      <c r="AS30" s="339">
        <f>Références!K7</f>
        <v>90</v>
      </c>
      <c r="AT30" s="703">
        <f>AR30*AS30</f>
        <v>0</v>
      </c>
      <c r="AU30" s="703"/>
      <c r="AV30" s="337" t="str">
        <f t="shared" si="13"/>
        <v/>
      </c>
      <c r="AW30" s="701" t="s">
        <v>250</v>
      </c>
      <c r="AX30" s="702"/>
      <c r="AY30" s="702"/>
      <c r="AZ30" s="2"/>
      <c r="BA30" s="339">
        <f>Références!K7</f>
        <v>90</v>
      </c>
      <c r="BB30" s="703">
        <f>AZ30*BA30</f>
        <v>0</v>
      </c>
      <c r="BC30" s="703"/>
      <c r="BD30" s="337" t="str">
        <f t="shared" si="14"/>
        <v/>
      </c>
      <c r="BE30" s="701" t="s">
        <v>250</v>
      </c>
      <c r="BF30" s="702"/>
      <c r="BG30" s="702"/>
      <c r="BH30" s="2"/>
      <c r="BI30" s="339">
        <f>Références!K7</f>
        <v>90</v>
      </c>
      <c r="BJ30" s="703">
        <f>BH30*BI30</f>
        <v>0</v>
      </c>
      <c r="BK30" s="703"/>
      <c r="BL30" s="337" t="str">
        <f t="shared" si="15"/>
        <v/>
      </c>
    </row>
    <row r="31" spans="1:64" x14ac:dyDescent="0.5">
      <c r="A31" s="701" t="s">
        <v>251</v>
      </c>
      <c r="B31" s="702"/>
      <c r="C31" s="702"/>
      <c r="D31" s="2"/>
      <c r="E31" s="339" t="str">
        <f>IF(D31=0,"",F31/D31)</f>
        <v/>
      </c>
      <c r="F31" s="703"/>
      <c r="G31" s="703"/>
      <c r="H31" s="337" t="str">
        <f t="shared" si="8"/>
        <v/>
      </c>
      <c r="I31" s="701" t="s">
        <v>251</v>
      </c>
      <c r="J31" s="702"/>
      <c r="K31" s="702"/>
      <c r="L31" s="2"/>
      <c r="M31" s="339" t="str">
        <f>IF(L31=0,"",N31/L31)</f>
        <v/>
      </c>
      <c r="N31" s="703"/>
      <c r="O31" s="703"/>
      <c r="P31" s="337" t="str">
        <f t="shared" si="9"/>
        <v/>
      </c>
      <c r="Q31" s="701" t="s">
        <v>251</v>
      </c>
      <c r="R31" s="702"/>
      <c r="S31" s="702"/>
      <c r="T31" s="2"/>
      <c r="U31" s="339" t="str">
        <f>IF(T31=0,"",V31/T31)</f>
        <v/>
      </c>
      <c r="V31" s="703"/>
      <c r="W31" s="703"/>
      <c r="X31" s="337" t="str">
        <f t="shared" si="10"/>
        <v/>
      </c>
      <c r="Y31" s="701" t="s">
        <v>251</v>
      </c>
      <c r="Z31" s="702"/>
      <c r="AA31" s="702"/>
      <c r="AB31" s="2"/>
      <c r="AC31" s="339" t="str">
        <f>IF(AB31=0,"",AD31/AB31)</f>
        <v/>
      </c>
      <c r="AD31" s="703"/>
      <c r="AE31" s="703"/>
      <c r="AF31" s="337" t="str">
        <f t="shared" si="11"/>
        <v/>
      </c>
      <c r="AG31" s="701" t="s">
        <v>251</v>
      </c>
      <c r="AH31" s="702"/>
      <c r="AI31" s="702"/>
      <c r="AJ31" s="2"/>
      <c r="AK31" s="339" t="str">
        <f>IF(AJ31=0,"",AL31/AJ31)</f>
        <v/>
      </c>
      <c r="AL31" s="703"/>
      <c r="AM31" s="703"/>
      <c r="AN31" s="337" t="str">
        <f t="shared" si="12"/>
        <v/>
      </c>
      <c r="AO31" s="701" t="s">
        <v>251</v>
      </c>
      <c r="AP31" s="702"/>
      <c r="AQ31" s="702"/>
      <c r="AR31" s="2"/>
      <c r="AS31" s="339" t="str">
        <f>IF(AR31=0,"",AT31/AR31)</f>
        <v/>
      </c>
      <c r="AT31" s="703"/>
      <c r="AU31" s="703"/>
      <c r="AV31" s="337" t="str">
        <f t="shared" si="13"/>
        <v/>
      </c>
      <c r="AW31" s="701" t="s">
        <v>251</v>
      </c>
      <c r="AX31" s="702"/>
      <c r="AY31" s="702"/>
      <c r="AZ31" s="2"/>
      <c r="BA31" s="339" t="str">
        <f>IF(AZ31=0,"",BB31/AZ31)</f>
        <v/>
      </c>
      <c r="BB31" s="703"/>
      <c r="BC31" s="703"/>
      <c r="BD31" s="337" t="str">
        <f t="shared" si="14"/>
        <v/>
      </c>
      <c r="BE31" s="701" t="s">
        <v>251</v>
      </c>
      <c r="BF31" s="702"/>
      <c r="BG31" s="702"/>
      <c r="BH31" s="2"/>
      <c r="BI31" s="339" t="str">
        <f>IF(BH31=0,"",BJ31/BH31)</f>
        <v/>
      </c>
      <c r="BJ31" s="703"/>
      <c r="BK31" s="703"/>
      <c r="BL31" s="337" t="str">
        <f t="shared" si="15"/>
        <v/>
      </c>
    </row>
    <row r="32" spans="1:64" ht="18.600000000000001" thickBot="1" x14ac:dyDescent="0.55000000000000004">
      <c r="A32" s="701" t="s">
        <v>252</v>
      </c>
      <c r="B32" s="702"/>
      <c r="C32" s="702"/>
      <c r="D32" s="2"/>
      <c r="E32" s="339" t="str">
        <f>IF(D32=0,"",F32/D32)</f>
        <v/>
      </c>
      <c r="F32" s="703"/>
      <c r="G32" s="703"/>
      <c r="H32" s="337" t="str">
        <f t="shared" si="8"/>
        <v/>
      </c>
      <c r="I32" s="701" t="s">
        <v>252</v>
      </c>
      <c r="J32" s="702"/>
      <c r="K32" s="702"/>
      <c r="L32" s="2"/>
      <c r="M32" s="339" t="str">
        <f>IF(L32=0,"",N32/L32)</f>
        <v/>
      </c>
      <c r="N32" s="703"/>
      <c r="O32" s="703"/>
      <c r="P32" s="337" t="str">
        <f t="shared" si="9"/>
        <v/>
      </c>
      <c r="Q32" s="701" t="s">
        <v>252</v>
      </c>
      <c r="R32" s="702"/>
      <c r="S32" s="702"/>
      <c r="T32" s="2"/>
      <c r="U32" s="339" t="str">
        <f>IF(T32=0,"",V32/T32)</f>
        <v/>
      </c>
      <c r="V32" s="703"/>
      <c r="W32" s="703"/>
      <c r="X32" s="337" t="str">
        <f t="shared" si="10"/>
        <v/>
      </c>
      <c r="Y32" s="701" t="s">
        <v>252</v>
      </c>
      <c r="Z32" s="702"/>
      <c r="AA32" s="702"/>
      <c r="AB32" s="2"/>
      <c r="AC32" s="339" t="str">
        <f>IF(AB32=0,"",AD32/AB32)</f>
        <v/>
      </c>
      <c r="AD32" s="703"/>
      <c r="AE32" s="703"/>
      <c r="AF32" s="337" t="str">
        <f t="shared" si="11"/>
        <v/>
      </c>
      <c r="AG32" s="701" t="s">
        <v>252</v>
      </c>
      <c r="AH32" s="702"/>
      <c r="AI32" s="702"/>
      <c r="AJ32" s="2"/>
      <c r="AK32" s="339" t="str">
        <f>IF(AJ32=0,"",AL32/AJ32)</f>
        <v/>
      </c>
      <c r="AL32" s="703"/>
      <c r="AM32" s="703"/>
      <c r="AN32" s="337" t="str">
        <f t="shared" si="12"/>
        <v/>
      </c>
      <c r="AO32" s="701" t="s">
        <v>252</v>
      </c>
      <c r="AP32" s="702"/>
      <c r="AQ32" s="702"/>
      <c r="AR32" s="2"/>
      <c r="AS32" s="339" t="str">
        <f>IF(AR32=0,"",AT32/AR32)</f>
        <v/>
      </c>
      <c r="AT32" s="703"/>
      <c r="AU32" s="703"/>
      <c r="AV32" s="337" t="str">
        <f t="shared" si="13"/>
        <v/>
      </c>
      <c r="AW32" s="701" t="s">
        <v>252</v>
      </c>
      <c r="AX32" s="702"/>
      <c r="AY32" s="702"/>
      <c r="AZ32" s="2"/>
      <c r="BA32" s="339" t="str">
        <f>IF(AZ32=0,"",BB32/AZ32)</f>
        <v/>
      </c>
      <c r="BB32" s="703"/>
      <c r="BC32" s="703"/>
      <c r="BD32" s="337" t="str">
        <f t="shared" si="14"/>
        <v/>
      </c>
      <c r="BE32" s="701" t="s">
        <v>252</v>
      </c>
      <c r="BF32" s="702"/>
      <c r="BG32" s="702"/>
      <c r="BH32" s="2"/>
      <c r="BI32" s="339" t="str">
        <f>IF(BH32=0,"",BJ32/BH32)</f>
        <v/>
      </c>
      <c r="BJ32" s="703"/>
      <c r="BK32" s="703"/>
      <c r="BL32" s="337" t="str">
        <f t="shared" si="15"/>
        <v/>
      </c>
    </row>
    <row r="33" spans="1:64" ht="18.600000000000001" thickBot="1" x14ac:dyDescent="0.55000000000000004">
      <c r="A33" s="698" t="s">
        <v>66</v>
      </c>
      <c r="B33" s="699"/>
      <c r="C33" s="699"/>
      <c r="D33" s="699"/>
      <c r="E33" s="699"/>
      <c r="F33" s="700">
        <f>F27+F28+F29+F30+F31+F32</f>
        <v>0</v>
      </c>
      <c r="G33" s="700"/>
      <c r="H33" s="337" t="str">
        <f t="shared" si="8"/>
        <v/>
      </c>
      <c r="I33" s="698" t="s">
        <v>66</v>
      </c>
      <c r="J33" s="699"/>
      <c r="K33" s="699"/>
      <c r="L33" s="699"/>
      <c r="M33" s="699"/>
      <c r="N33" s="700">
        <f>N27+N28+N29+N30+N31+N32</f>
        <v>0</v>
      </c>
      <c r="O33" s="700"/>
      <c r="P33" s="337" t="str">
        <f t="shared" si="9"/>
        <v/>
      </c>
      <c r="Q33" s="698" t="s">
        <v>66</v>
      </c>
      <c r="R33" s="699"/>
      <c r="S33" s="699"/>
      <c r="T33" s="699"/>
      <c r="U33" s="699"/>
      <c r="V33" s="700">
        <f>V27+V28+V29+V30+V31+V32</f>
        <v>0</v>
      </c>
      <c r="W33" s="700"/>
      <c r="X33" s="337" t="str">
        <f t="shared" si="10"/>
        <v/>
      </c>
      <c r="Y33" s="698" t="s">
        <v>66</v>
      </c>
      <c r="Z33" s="699"/>
      <c r="AA33" s="699"/>
      <c r="AB33" s="699"/>
      <c r="AC33" s="699"/>
      <c r="AD33" s="700">
        <f>AD27+AD28+AD29+AD30+AD31+AD32</f>
        <v>0</v>
      </c>
      <c r="AE33" s="700"/>
      <c r="AF33" s="337" t="str">
        <f t="shared" si="11"/>
        <v/>
      </c>
      <c r="AG33" s="698" t="s">
        <v>66</v>
      </c>
      <c r="AH33" s="699"/>
      <c r="AI33" s="699"/>
      <c r="AJ33" s="699"/>
      <c r="AK33" s="699"/>
      <c r="AL33" s="700">
        <f>AL27+AL28+AL29+AL30+AL31+AL32</f>
        <v>0</v>
      </c>
      <c r="AM33" s="700"/>
      <c r="AN33" s="337" t="str">
        <f t="shared" si="12"/>
        <v/>
      </c>
      <c r="AO33" s="698" t="s">
        <v>66</v>
      </c>
      <c r="AP33" s="699"/>
      <c r="AQ33" s="699"/>
      <c r="AR33" s="699"/>
      <c r="AS33" s="699"/>
      <c r="AT33" s="700">
        <f>AT27+AT28+AT29+AT30+AT31+AT32</f>
        <v>0</v>
      </c>
      <c r="AU33" s="700"/>
      <c r="AV33" s="337" t="str">
        <f t="shared" si="13"/>
        <v/>
      </c>
      <c r="AW33" s="698" t="s">
        <v>66</v>
      </c>
      <c r="AX33" s="699"/>
      <c r="AY33" s="699"/>
      <c r="AZ33" s="699"/>
      <c r="BA33" s="699"/>
      <c r="BB33" s="700">
        <f>BB27+BB28+BB29+BB30+BB31+BB32</f>
        <v>0</v>
      </c>
      <c r="BC33" s="700"/>
      <c r="BD33" s="337" t="str">
        <f t="shared" si="14"/>
        <v/>
      </c>
      <c r="BE33" s="698" t="s">
        <v>66</v>
      </c>
      <c r="BF33" s="699"/>
      <c r="BG33" s="699"/>
      <c r="BH33" s="699"/>
      <c r="BI33" s="699"/>
      <c r="BJ33" s="700">
        <f>BJ27+BJ28+BJ29+BJ30+BJ31+BJ32</f>
        <v>0</v>
      </c>
      <c r="BK33" s="700"/>
      <c r="BL33" s="337" t="str">
        <f t="shared" si="15"/>
        <v/>
      </c>
    </row>
    <row r="35" spans="1:64" ht="18" customHeight="1" x14ac:dyDescent="0.5">
      <c r="A35" s="698" t="s">
        <v>253</v>
      </c>
      <c r="B35" s="699"/>
      <c r="C35" s="699"/>
      <c r="D35" s="699"/>
      <c r="E35" s="699"/>
      <c r="F35" s="704">
        <f>SUM(F27:G31)-F24</f>
        <v>0</v>
      </c>
      <c r="G35" s="700"/>
      <c r="H35" s="108" t="str">
        <f>IF(B$3=0,"",F35/B$3)</f>
        <v/>
      </c>
      <c r="I35" s="698" t="s">
        <v>253</v>
      </c>
      <c r="J35" s="699"/>
      <c r="K35" s="699"/>
      <c r="L35" s="699"/>
      <c r="M35" s="699"/>
      <c r="N35" s="704">
        <f>SUM(N27:O31)-N24</f>
        <v>0</v>
      </c>
      <c r="O35" s="700"/>
      <c r="P35" s="108" t="str">
        <f>IF(J$3=0,"",N35/J$3)</f>
        <v/>
      </c>
      <c r="Q35" s="698" t="s">
        <v>253</v>
      </c>
      <c r="R35" s="699"/>
      <c r="S35" s="699"/>
      <c r="T35" s="699"/>
      <c r="U35" s="699"/>
      <c r="V35" s="704">
        <f>SUM(V27:W31)-V24</f>
        <v>0</v>
      </c>
      <c r="W35" s="700"/>
      <c r="X35" s="108" t="str">
        <f>IF(R$3=0,"",V35/R$3)</f>
        <v/>
      </c>
      <c r="Y35" s="698" t="s">
        <v>253</v>
      </c>
      <c r="Z35" s="699"/>
      <c r="AA35" s="699"/>
      <c r="AB35" s="699"/>
      <c r="AC35" s="699"/>
      <c r="AD35" s="704">
        <f>SUM(AD27:AE31)-AD24</f>
        <v>0</v>
      </c>
      <c r="AE35" s="700"/>
      <c r="AF35" s="108" t="str">
        <f>IF(Z$3=0,"",AD35/Z$3)</f>
        <v/>
      </c>
      <c r="AG35" s="698" t="s">
        <v>253</v>
      </c>
      <c r="AH35" s="699"/>
      <c r="AI35" s="699"/>
      <c r="AJ35" s="699"/>
      <c r="AK35" s="699"/>
      <c r="AL35" s="704">
        <f>SUM(AL27:AM31)-AL24</f>
        <v>0</v>
      </c>
      <c r="AM35" s="700"/>
      <c r="AN35" s="108" t="str">
        <f>IF(AH$3=0,"",AL35/AH$3)</f>
        <v/>
      </c>
      <c r="AO35" s="698" t="s">
        <v>253</v>
      </c>
      <c r="AP35" s="699"/>
      <c r="AQ35" s="699"/>
      <c r="AR35" s="699"/>
      <c r="AS35" s="699"/>
      <c r="AT35" s="704">
        <f>SUM(AT27:AU31)-AT24</f>
        <v>0</v>
      </c>
      <c r="AU35" s="700"/>
      <c r="AV35" s="108" t="str">
        <f>IF(AP$3=0,"",AT35/AP$3)</f>
        <v/>
      </c>
      <c r="AW35" s="698" t="s">
        <v>253</v>
      </c>
      <c r="AX35" s="699"/>
      <c r="AY35" s="699"/>
      <c r="AZ35" s="699"/>
      <c r="BA35" s="699"/>
      <c r="BB35" s="704">
        <f>SUM(BB27:BC31)-BB24</f>
        <v>0</v>
      </c>
      <c r="BC35" s="700"/>
      <c r="BD35" s="108" t="str">
        <f>IF(AX$3=0,"",BB35/AX$3)</f>
        <v/>
      </c>
      <c r="BE35" s="698" t="s">
        <v>253</v>
      </c>
      <c r="BF35" s="699"/>
      <c r="BG35" s="699"/>
      <c r="BH35" s="699"/>
      <c r="BI35" s="699"/>
      <c r="BJ35" s="704">
        <f>SUM(BJ27:BK31)-BJ24</f>
        <v>0</v>
      </c>
      <c r="BK35" s="700"/>
      <c r="BL35" s="108" t="str">
        <f>IF(BF$3=0,"",BJ35/BF$3)</f>
        <v/>
      </c>
    </row>
    <row r="37" spans="1:64" ht="18.600000000000001" thickBot="1" x14ac:dyDescent="0.55000000000000004">
      <c r="A37" s="698" t="s">
        <v>254</v>
      </c>
      <c r="B37" s="699"/>
      <c r="C37" s="699"/>
      <c r="D37" s="699"/>
      <c r="E37" s="699"/>
      <c r="F37" s="737">
        <f>F33-F24</f>
        <v>0</v>
      </c>
      <c r="G37" s="700"/>
      <c r="H37" s="108" t="str">
        <f>IF(B$3=0,"",F37/B$3)</f>
        <v/>
      </c>
      <c r="I37" s="698" t="s">
        <v>254</v>
      </c>
      <c r="J37" s="699"/>
      <c r="K37" s="699"/>
      <c r="L37" s="699"/>
      <c r="M37" s="699"/>
      <c r="N37" s="700">
        <f>N33-N24</f>
        <v>0</v>
      </c>
      <c r="O37" s="700"/>
      <c r="P37" s="108" t="str">
        <f>IF(J$3=0,"",N37/J$3)</f>
        <v/>
      </c>
      <c r="Q37" s="698" t="s">
        <v>254</v>
      </c>
      <c r="R37" s="699"/>
      <c r="S37" s="699"/>
      <c r="T37" s="699"/>
      <c r="U37" s="699"/>
      <c r="V37" s="700">
        <f>V33-V24</f>
        <v>0</v>
      </c>
      <c r="W37" s="700"/>
      <c r="X37" s="108" t="str">
        <f>IF(R$3=0,"",V37/R$3)</f>
        <v/>
      </c>
      <c r="Y37" s="698" t="s">
        <v>254</v>
      </c>
      <c r="Z37" s="699"/>
      <c r="AA37" s="699"/>
      <c r="AB37" s="699"/>
      <c r="AC37" s="699"/>
      <c r="AD37" s="700">
        <f>AD33-AD24</f>
        <v>0</v>
      </c>
      <c r="AE37" s="700"/>
      <c r="AF37" s="108" t="str">
        <f>IF(Z$3=0,"",AD37/Z$3)</f>
        <v/>
      </c>
      <c r="AG37" s="698" t="s">
        <v>254</v>
      </c>
      <c r="AH37" s="699"/>
      <c r="AI37" s="699"/>
      <c r="AJ37" s="699"/>
      <c r="AK37" s="699"/>
      <c r="AL37" s="700">
        <f>AL33-AL24</f>
        <v>0</v>
      </c>
      <c r="AM37" s="700"/>
      <c r="AN37" s="108" t="str">
        <f>IF(AH$3=0,"",AL37/AH$3)</f>
        <v/>
      </c>
      <c r="AO37" s="698" t="s">
        <v>254</v>
      </c>
      <c r="AP37" s="699"/>
      <c r="AQ37" s="699"/>
      <c r="AR37" s="699"/>
      <c r="AS37" s="699"/>
      <c r="AT37" s="700">
        <f>AT33-AT24</f>
        <v>0</v>
      </c>
      <c r="AU37" s="700"/>
      <c r="AV37" s="108" t="str">
        <f>IF(AP$3=0,"",AT37/AP$3)</f>
        <v/>
      </c>
      <c r="AW37" s="698" t="s">
        <v>254</v>
      </c>
      <c r="AX37" s="699"/>
      <c r="AY37" s="699"/>
      <c r="AZ37" s="699"/>
      <c r="BA37" s="699"/>
      <c r="BB37" s="700">
        <f>BB33-BB24</f>
        <v>0</v>
      </c>
      <c r="BC37" s="700"/>
      <c r="BD37" s="108" t="str">
        <f>IF(AX$3=0,"",BB37/AX$3)</f>
        <v/>
      </c>
      <c r="BE37" s="698" t="s">
        <v>254</v>
      </c>
      <c r="BF37" s="699"/>
      <c r="BG37" s="699"/>
      <c r="BH37" s="699"/>
      <c r="BI37" s="699"/>
      <c r="BJ37" s="700">
        <f>BJ33-BJ24</f>
        <v>0</v>
      </c>
      <c r="BK37" s="700"/>
      <c r="BL37" s="108" t="str">
        <f>IF(BF$3=0,"",BJ37/BF$3)</f>
        <v/>
      </c>
    </row>
  </sheetData>
  <mergeCells count="512">
    <mergeCell ref="F21:G21"/>
    <mergeCell ref="F22:G22"/>
    <mergeCell ref="F23:G23"/>
    <mergeCell ref="A27:C27"/>
    <mergeCell ref="A28:C28"/>
    <mergeCell ref="A24:E24"/>
    <mergeCell ref="F24:G24"/>
    <mergeCell ref="A33:E33"/>
    <mergeCell ref="F33:G33"/>
    <mergeCell ref="A26:C26"/>
    <mergeCell ref="A30:C30"/>
    <mergeCell ref="A31:C31"/>
    <mergeCell ref="F26:G26"/>
    <mergeCell ref="F27:G27"/>
    <mergeCell ref="F28:G28"/>
    <mergeCell ref="F29:G29"/>
    <mergeCell ref="F30:G30"/>
    <mergeCell ref="F31:G31"/>
    <mergeCell ref="A29:C29"/>
    <mergeCell ref="F20:G20"/>
    <mergeCell ref="F11:G11"/>
    <mergeCell ref="F12:G12"/>
    <mergeCell ref="F13:G13"/>
    <mergeCell ref="F14:G14"/>
    <mergeCell ref="F15:G15"/>
    <mergeCell ref="F16:G16"/>
    <mergeCell ref="F17:G17"/>
    <mergeCell ref="A18:E18"/>
    <mergeCell ref="F18:G18"/>
    <mergeCell ref="F19:G19"/>
    <mergeCell ref="A5:C5"/>
    <mergeCell ref="A7:C7"/>
    <mergeCell ref="A9:C9"/>
    <mergeCell ref="A6:E6"/>
    <mergeCell ref="F10:G10"/>
    <mergeCell ref="A13:C13"/>
    <mergeCell ref="A14:C14"/>
    <mergeCell ref="A23:C23"/>
    <mergeCell ref="A8:C8"/>
    <mergeCell ref="A10:E10"/>
    <mergeCell ref="A12:E12"/>
    <mergeCell ref="A17:C17"/>
    <mergeCell ref="A16:E16"/>
    <mergeCell ref="A15:C15"/>
    <mergeCell ref="A19:C19"/>
    <mergeCell ref="A20:C20"/>
    <mergeCell ref="A21:C21"/>
    <mergeCell ref="A22:C22"/>
    <mergeCell ref="A11:C11"/>
    <mergeCell ref="F7:G7"/>
    <mergeCell ref="F8:G8"/>
    <mergeCell ref="F9:G9"/>
    <mergeCell ref="F6:G6"/>
    <mergeCell ref="F5:G5"/>
    <mergeCell ref="A37:E37"/>
    <mergeCell ref="F37:G37"/>
    <mergeCell ref="I2:J2"/>
    <mergeCell ref="K2:P2"/>
    <mergeCell ref="K3:L3"/>
    <mergeCell ref="N3:O3"/>
    <mergeCell ref="I5:K5"/>
    <mergeCell ref="N5:O5"/>
    <mergeCell ref="I6:M6"/>
    <mergeCell ref="N6:O6"/>
    <mergeCell ref="I7:K7"/>
    <mergeCell ref="N7:O7"/>
    <mergeCell ref="I8:K8"/>
    <mergeCell ref="N8:O8"/>
    <mergeCell ref="I9:K9"/>
    <mergeCell ref="N9:O9"/>
    <mergeCell ref="A2:B2"/>
    <mergeCell ref="C2:H2"/>
    <mergeCell ref="A32:C32"/>
    <mergeCell ref="F32:G32"/>
    <mergeCell ref="A35:E35"/>
    <mergeCell ref="F35:G35"/>
    <mergeCell ref="C3:D3"/>
    <mergeCell ref="F3:G3"/>
    <mergeCell ref="I13:K13"/>
    <mergeCell ref="N13:O13"/>
    <mergeCell ref="I14:K14"/>
    <mergeCell ref="N14:O14"/>
    <mergeCell ref="I15:K15"/>
    <mergeCell ref="N15:O15"/>
    <mergeCell ref="I10:M10"/>
    <mergeCell ref="N10:O10"/>
    <mergeCell ref="I11:K11"/>
    <mergeCell ref="N11:O11"/>
    <mergeCell ref="I12:M12"/>
    <mergeCell ref="N12:O12"/>
    <mergeCell ref="I19:K19"/>
    <mergeCell ref="N19:O19"/>
    <mergeCell ref="I20:K20"/>
    <mergeCell ref="N20:O20"/>
    <mergeCell ref="I21:K21"/>
    <mergeCell ref="N21:O21"/>
    <mergeCell ref="I16:M16"/>
    <mergeCell ref="N16:O16"/>
    <mergeCell ref="I17:K17"/>
    <mergeCell ref="N17:O17"/>
    <mergeCell ref="I18:M18"/>
    <mergeCell ref="N18:O18"/>
    <mergeCell ref="I26:K26"/>
    <mergeCell ref="N26:O26"/>
    <mergeCell ref="I27:K27"/>
    <mergeCell ref="N27:O27"/>
    <mergeCell ref="I28:K28"/>
    <mergeCell ref="N28:O28"/>
    <mergeCell ref="I22:K22"/>
    <mergeCell ref="N22:O22"/>
    <mergeCell ref="I23:K23"/>
    <mergeCell ref="N23:O23"/>
    <mergeCell ref="I24:M24"/>
    <mergeCell ref="N24:O24"/>
    <mergeCell ref="I33:M33"/>
    <mergeCell ref="N33:O33"/>
    <mergeCell ref="I35:M35"/>
    <mergeCell ref="N35:O35"/>
    <mergeCell ref="I29:K29"/>
    <mergeCell ref="N29:O29"/>
    <mergeCell ref="I30:K30"/>
    <mergeCell ref="N30:O30"/>
    <mergeCell ref="I31:K31"/>
    <mergeCell ref="N31:O31"/>
    <mergeCell ref="Q10:U10"/>
    <mergeCell ref="V10:W10"/>
    <mergeCell ref="Q11:S11"/>
    <mergeCell ref="V11:W11"/>
    <mergeCell ref="Q12:U12"/>
    <mergeCell ref="V12:W12"/>
    <mergeCell ref="I37:M37"/>
    <mergeCell ref="N37:O37"/>
    <mergeCell ref="Q2:R2"/>
    <mergeCell ref="S2:X2"/>
    <mergeCell ref="S3:T3"/>
    <mergeCell ref="V3:W3"/>
    <mergeCell ref="Q5:S5"/>
    <mergeCell ref="V5:W5"/>
    <mergeCell ref="Q6:U6"/>
    <mergeCell ref="V6:W6"/>
    <mergeCell ref="Q7:S7"/>
    <mergeCell ref="V7:W7"/>
    <mergeCell ref="Q8:S8"/>
    <mergeCell ref="V8:W8"/>
    <mergeCell ref="Q9:S9"/>
    <mergeCell ref="V9:W9"/>
    <mergeCell ref="I32:K32"/>
    <mergeCell ref="N32:O32"/>
    <mergeCell ref="Q16:U16"/>
    <mergeCell ref="V16:W16"/>
    <mergeCell ref="Q17:S17"/>
    <mergeCell ref="V17:W17"/>
    <mergeCell ref="Q18:U18"/>
    <mergeCell ref="V18:W18"/>
    <mergeCell ref="Q13:S13"/>
    <mergeCell ref="V13:W13"/>
    <mergeCell ref="Q14:S14"/>
    <mergeCell ref="V14:W14"/>
    <mergeCell ref="Q15:S15"/>
    <mergeCell ref="V15:W15"/>
    <mergeCell ref="Q22:S22"/>
    <mergeCell ref="V22:W22"/>
    <mergeCell ref="Q23:S23"/>
    <mergeCell ref="V23:W23"/>
    <mergeCell ref="Q24:U24"/>
    <mergeCell ref="V24:W24"/>
    <mergeCell ref="Q19:S19"/>
    <mergeCell ref="V19:W19"/>
    <mergeCell ref="Q20:S20"/>
    <mergeCell ref="V20:W20"/>
    <mergeCell ref="Q21:S21"/>
    <mergeCell ref="V21:W21"/>
    <mergeCell ref="Q30:S30"/>
    <mergeCell ref="V30:W30"/>
    <mergeCell ref="Q31:S31"/>
    <mergeCell ref="V31:W31"/>
    <mergeCell ref="Q26:S26"/>
    <mergeCell ref="V26:W26"/>
    <mergeCell ref="Q27:S27"/>
    <mergeCell ref="V27:W27"/>
    <mergeCell ref="Q28:S28"/>
    <mergeCell ref="V28:W28"/>
    <mergeCell ref="Q37:U37"/>
    <mergeCell ref="V37:W37"/>
    <mergeCell ref="Y2:Z2"/>
    <mergeCell ref="AA2:AF2"/>
    <mergeCell ref="AA3:AB3"/>
    <mergeCell ref="AD3:AE3"/>
    <mergeCell ref="Y5:AA5"/>
    <mergeCell ref="AD5:AE5"/>
    <mergeCell ref="Y6:AC6"/>
    <mergeCell ref="AD6:AE6"/>
    <mergeCell ref="Y7:AA7"/>
    <mergeCell ref="AD7:AE7"/>
    <mergeCell ref="Y8:AA8"/>
    <mergeCell ref="AD8:AE8"/>
    <mergeCell ref="Y9:AA9"/>
    <mergeCell ref="AD9:AE9"/>
    <mergeCell ref="Q32:S32"/>
    <mergeCell ref="V32:W32"/>
    <mergeCell ref="Q33:U33"/>
    <mergeCell ref="V33:W33"/>
    <mergeCell ref="Q35:U35"/>
    <mergeCell ref="V35:W35"/>
    <mergeCell ref="Q29:S29"/>
    <mergeCell ref="V29:W29"/>
    <mergeCell ref="Y13:AA13"/>
    <mergeCell ref="AD13:AE13"/>
    <mergeCell ref="Y14:AA14"/>
    <mergeCell ref="AD14:AE14"/>
    <mergeCell ref="Y15:AA15"/>
    <mergeCell ref="AD15:AE15"/>
    <mergeCell ref="Y10:AC10"/>
    <mergeCell ref="AD10:AE10"/>
    <mergeCell ref="Y11:AA11"/>
    <mergeCell ref="AD11:AE11"/>
    <mergeCell ref="Y12:AC12"/>
    <mergeCell ref="AD12:AE12"/>
    <mergeCell ref="Y19:AA19"/>
    <mergeCell ref="AD19:AE19"/>
    <mergeCell ref="Y20:AA20"/>
    <mergeCell ref="AD20:AE20"/>
    <mergeCell ref="Y21:AA21"/>
    <mergeCell ref="AD21:AE21"/>
    <mergeCell ref="Y16:AC16"/>
    <mergeCell ref="AD16:AE16"/>
    <mergeCell ref="Y17:AA17"/>
    <mergeCell ref="AD17:AE17"/>
    <mergeCell ref="Y18:AC18"/>
    <mergeCell ref="AD18:AE18"/>
    <mergeCell ref="Y26:AA26"/>
    <mergeCell ref="AD26:AE26"/>
    <mergeCell ref="Y27:AA27"/>
    <mergeCell ref="AD27:AE27"/>
    <mergeCell ref="Y28:AA28"/>
    <mergeCell ref="AD28:AE28"/>
    <mergeCell ref="Y22:AA22"/>
    <mergeCell ref="AD22:AE22"/>
    <mergeCell ref="Y23:AA23"/>
    <mergeCell ref="AD23:AE23"/>
    <mergeCell ref="Y24:AC24"/>
    <mergeCell ref="AD24:AE24"/>
    <mergeCell ref="Y33:AC33"/>
    <mergeCell ref="AD33:AE33"/>
    <mergeCell ref="Y35:AC35"/>
    <mergeCell ref="AD35:AE35"/>
    <mergeCell ref="Y29:AA29"/>
    <mergeCell ref="AD29:AE29"/>
    <mergeCell ref="Y30:AA30"/>
    <mergeCell ref="AD30:AE30"/>
    <mergeCell ref="Y31:AA31"/>
    <mergeCell ref="AD31:AE31"/>
    <mergeCell ref="AG10:AK10"/>
    <mergeCell ref="AL10:AM10"/>
    <mergeCell ref="AG11:AI11"/>
    <mergeCell ref="AL11:AM11"/>
    <mergeCell ref="AG12:AK12"/>
    <mergeCell ref="AL12:AM12"/>
    <mergeCell ref="Y37:AC37"/>
    <mergeCell ref="AD37:AE37"/>
    <mergeCell ref="AG2:AH2"/>
    <mergeCell ref="AI2:AN2"/>
    <mergeCell ref="AI3:AJ3"/>
    <mergeCell ref="AL3:AM3"/>
    <mergeCell ref="AG5:AI5"/>
    <mergeCell ref="AL5:AM5"/>
    <mergeCell ref="AG6:AK6"/>
    <mergeCell ref="AL6:AM6"/>
    <mergeCell ref="AG7:AI7"/>
    <mergeCell ref="AL7:AM7"/>
    <mergeCell ref="AG8:AI8"/>
    <mergeCell ref="AL8:AM8"/>
    <mergeCell ref="AG9:AI9"/>
    <mergeCell ref="AL9:AM9"/>
    <mergeCell ref="Y32:AA32"/>
    <mergeCell ref="AD32:AE32"/>
    <mergeCell ref="AG16:AK16"/>
    <mergeCell ref="AL16:AM16"/>
    <mergeCell ref="AG17:AI17"/>
    <mergeCell ref="AL17:AM17"/>
    <mergeCell ref="AG18:AK18"/>
    <mergeCell ref="AL18:AM18"/>
    <mergeCell ref="AG13:AI13"/>
    <mergeCell ref="AL13:AM13"/>
    <mergeCell ref="AG14:AI14"/>
    <mergeCell ref="AL14:AM14"/>
    <mergeCell ref="AG15:AI15"/>
    <mergeCell ref="AL15:AM15"/>
    <mergeCell ref="AG22:AI22"/>
    <mergeCell ref="AL22:AM22"/>
    <mergeCell ref="AG23:AI23"/>
    <mergeCell ref="AL23:AM23"/>
    <mergeCell ref="AG24:AK24"/>
    <mergeCell ref="AL24:AM24"/>
    <mergeCell ref="AG19:AI19"/>
    <mergeCell ref="AL19:AM19"/>
    <mergeCell ref="AG20:AI20"/>
    <mergeCell ref="AL20:AM20"/>
    <mergeCell ref="AG21:AI21"/>
    <mergeCell ref="AL21:AM21"/>
    <mergeCell ref="AG30:AI30"/>
    <mergeCell ref="AL30:AM30"/>
    <mergeCell ref="AG31:AI31"/>
    <mergeCell ref="AL31:AM31"/>
    <mergeCell ref="AG26:AI26"/>
    <mergeCell ref="AL26:AM26"/>
    <mergeCell ref="AG27:AI27"/>
    <mergeCell ref="AL27:AM27"/>
    <mergeCell ref="AG28:AI28"/>
    <mergeCell ref="AL28:AM28"/>
    <mergeCell ref="AG37:AK37"/>
    <mergeCell ref="AL37:AM37"/>
    <mergeCell ref="AO2:AP2"/>
    <mergeCell ref="AQ2:AV2"/>
    <mergeCell ref="AQ3:AR3"/>
    <mergeCell ref="AT3:AU3"/>
    <mergeCell ref="AO5:AQ5"/>
    <mergeCell ref="AT5:AU5"/>
    <mergeCell ref="AO6:AS6"/>
    <mergeCell ref="AT6:AU6"/>
    <mergeCell ref="AO7:AQ7"/>
    <mergeCell ref="AT7:AU7"/>
    <mergeCell ref="AO8:AQ8"/>
    <mergeCell ref="AT8:AU8"/>
    <mergeCell ref="AO9:AQ9"/>
    <mergeCell ref="AT9:AU9"/>
    <mergeCell ref="AG32:AI32"/>
    <mergeCell ref="AL32:AM32"/>
    <mergeCell ref="AG33:AK33"/>
    <mergeCell ref="AL33:AM33"/>
    <mergeCell ref="AG35:AK35"/>
    <mergeCell ref="AL35:AM35"/>
    <mergeCell ref="AG29:AI29"/>
    <mergeCell ref="AL29:AM29"/>
    <mergeCell ref="AO13:AQ13"/>
    <mergeCell ref="AT13:AU13"/>
    <mergeCell ref="AO14:AQ14"/>
    <mergeCell ref="AT14:AU14"/>
    <mergeCell ref="AO15:AQ15"/>
    <mergeCell ref="AT15:AU15"/>
    <mergeCell ref="AO10:AS10"/>
    <mergeCell ref="AT10:AU10"/>
    <mergeCell ref="AO11:AQ11"/>
    <mergeCell ref="AT11:AU11"/>
    <mergeCell ref="AO12:AS12"/>
    <mergeCell ref="AT12:AU12"/>
    <mergeCell ref="AO19:AQ19"/>
    <mergeCell ref="AT19:AU19"/>
    <mergeCell ref="AO20:AQ20"/>
    <mergeCell ref="AT20:AU20"/>
    <mergeCell ref="AO21:AQ21"/>
    <mergeCell ref="AT21:AU21"/>
    <mergeCell ref="AO16:AS16"/>
    <mergeCell ref="AT16:AU16"/>
    <mergeCell ref="AO17:AQ17"/>
    <mergeCell ref="AT17:AU17"/>
    <mergeCell ref="AO18:AS18"/>
    <mergeCell ref="AT18:AU18"/>
    <mergeCell ref="AO26:AQ26"/>
    <mergeCell ref="AT26:AU26"/>
    <mergeCell ref="AO27:AQ27"/>
    <mergeCell ref="AT27:AU27"/>
    <mergeCell ref="AO28:AQ28"/>
    <mergeCell ref="AT28:AU28"/>
    <mergeCell ref="AO22:AQ22"/>
    <mergeCell ref="AT22:AU22"/>
    <mergeCell ref="AO23:AQ23"/>
    <mergeCell ref="AT23:AU23"/>
    <mergeCell ref="AO24:AS24"/>
    <mergeCell ref="AT24:AU24"/>
    <mergeCell ref="AO33:AS33"/>
    <mergeCell ref="AT33:AU33"/>
    <mergeCell ref="AO35:AS35"/>
    <mergeCell ref="AT35:AU35"/>
    <mergeCell ref="AO29:AQ29"/>
    <mergeCell ref="AT29:AU29"/>
    <mergeCell ref="AO30:AQ30"/>
    <mergeCell ref="AT30:AU30"/>
    <mergeCell ref="AO31:AQ31"/>
    <mergeCell ref="AT31:AU31"/>
    <mergeCell ref="AW10:BA10"/>
    <mergeCell ref="BB10:BC10"/>
    <mergeCell ref="AW11:AY11"/>
    <mergeCell ref="BB11:BC11"/>
    <mergeCell ref="AW12:BA12"/>
    <mergeCell ref="BB12:BC12"/>
    <mergeCell ref="AO37:AS37"/>
    <mergeCell ref="AT37:AU37"/>
    <mergeCell ref="AW2:AX2"/>
    <mergeCell ref="AY2:BD2"/>
    <mergeCell ref="AY3:AZ3"/>
    <mergeCell ref="BB3:BC3"/>
    <mergeCell ref="AW5:AY5"/>
    <mergeCell ref="BB5:BC5"/>
    <mergeCell ref="AW6:BA6"/>
    <mergeCell ref="BB6:BC6"/>
    <mergeCell ref="AW7:AY7"/>
    <mergeCell ref="BB7:BC7"/>
    <mergeCell ref="AW8:AY8"/>
    <mergeCell ref="BB8:BC8"/>
    <mergeCell ref="AW9:AY9"/>
    <mergeCell ref="BB9:BC9"/>
    <mergeCell ref="AO32:AQ32"/>
    <mergeCell ref="AT32:AU32"/>
    <mergeCell ref="AW16:BA16"/>
    <mergeCell ref="BB16:BC16"/>
    <mergeCell ref="AW17:AY17"/>
    <mergeCell ref="BB17:BC17"/>
    <mergeCell ref="AW18:BA18"/>
    <mergeCell ref="BB18:BC18"/>
    <mergeCell ref="AW13:AY13"/>
    <mergeCell ref="BB13:BC13"/>
    <mergeCell ref="AW14:AY14"/>
    <mergeCell ref="BB14:BC14"/>
    <mergeCell ref="AW15:AY15"/>
    <mergeCell ref="BB15:BC15"/>
    <mergeCell ref="AW22:AY22"/>
    <mergeCell ref="BB22:BC22"/>
    <mergeCell ref="AW23:AY23"/>
    <mergeCell ref="BB23:BC23"/>
    <mergeCell ref="AW24:BA24"/>
    <mergeCell ref="BB24:BC24"/>
    <mergeCell ref="AW19:AY19"/>
    <mergeCell ref="BB19:BC19"/>
    <mergeCell ref="AW20:AY20"/>
    <mergeCell ref="BB20:BC20"/>
    <mergeCell ref="AW21:AY21"/>
    <mergeCell ref="BB21:BC21"/>
    <mergeCell ref="AW30:AY30"/>
    <mergeCell ref="BB30:BC30"/>
    <mergeCell ref="AW31:AY31"/>
    <mergeCell ref="BB31:BC31"/>
    <mergeCell ref="AW26:AY26"/>
    <mergeCell ref="BB26:BC26"/>
    <mergeCell ref="AW27:AY27"/>
    <mergeCell ref="BB27:BC27"/>
    <mergeCell ref="AW28:AY28"/>
    <mergeCell ref="BB28:BC28"/>
    <mergeCell ref="AW37:BA37"/>
    <mergeCell ref="BB37:BC37"/>
    <mergeCell ref="BE2:BF2"/>
    <mergeCell ref="BG2:BL2"/>
    <mergeCell ref="BG3:BH3"/>
    <mergeCell ref="BJ3:BK3"/>
    <mergeCell ref="BE5:BG5"/>
    <mergeCell ref="BJ5:BK5"/>
    <mergeCell ref="BE6:BI6"/>
    <mergeCell ref="BJ6:BK6"/>
    <mergeCell ref="BE7:BG7"/>
    <mergeCell ref="BJ7:BK7"/>
    <mergeCell ref="BE8:BG8"/>
    <mergeCell ref="BJ8:BK8"/>
    <mergeCell ref="BE9:BG9"/>
    <mergeCell ref="BJ9:BK9"/>
    <mergeCell ref="AW32:AY32"/>
    <mergeCell ref="BB32:BC32"/>
    <mergeCell ref="AW33:BA33"/>
    <mergeCell ref="BB33:BC33"/>
    <mergeCell ref="AW35:BA35"/>
    <mergeCell ref="BB35:BC35"/>
    <mergeCell ref="AW29:AY29"/>
    <mergeCell ref="BB29:BC29"/>
    <mergeCell ref="BE13:BG13"/>
    <mergeCell ref="BJ13:BK13"/>
    <mergeCell ref="BE14:BG14"/>
    <mergeCell ref="BJ14:BK14"/>
    <mergeCell ref="BE15:BG15"/>
    <mergeCell ref="BJ15:BK15"/>
    <mergeCell ref="BE10:BI10"/>
    <mergeCell ref="BJ10:BK10"/>
    <mergeCell ref="BE11:BG11"/>
    <mergeCell ref="BJ11:BK11"/>
    <mergeCell ref="BE12:BI12"/>
    <mergeCell ref="BJ12:BK12"/>
    <mergeCell ref="BE19:BG19"/>
    <mergeCell ref="BJ19:BK19"/>
    <mergeCell ref="BE20:BG20"/>
    <mergeCell ref="BJ20:BK20"/>
    <mergeCell ref="BE21:BG21"/>
    <mergeCell ref="BJ21:BK21"/>
    <mergeCell ref="BE16:BI16"/>
    <mergeCell ref="BJ16:BK16"/>
    <mergeCell ref="BE17:BG17"/>
    <mergeCell ref="BJ17:BK17"/>
    <mergeCell ref="BE18:BI18"/>
    <mergeCell ref="BJ18:BK18"/>
    <mergeCell ref="BE26:BG26"/>
    <mergeCell ref="BJ26:BK26"/>
    <mergeCell ref="BE27:BG27"/>
    <mergeCell ref="BJ27:BK27"/>
    <mergeCell ref="BE28:BG28"/>
    <mergeCell ref="BJ28:BK28"/>
    <mergeCell ref="BE22:BG22"/>
    <mergeCell ref="BJ22:BK22"/>
    <mergeCell ref="BE23:BG23"/>
    <mergeCell ref="BJ23:BK23"/>
    <mergeCell ref="BE24:BI24"/>
    <mergeCell ref="BJ24:BK24"/>
    <mergeCell ref="BE37:BI37"/>
    <mergeCell ref="BJ37:BK37"/>
    <mergeCell ref="BE32:BG32"/>
    <mergeCell ref="BJ32:BK32"/>
    <mergeCell ref="BE33:BI33"/>
    <mergeCell ref="BJ33:BK33"/>
    <mergeCell ref="BE35:BI35"/>
    <mergeCell ref="BJ35:BK35"/>
    <mergeCell ref="BE29:BG29"/>
    <mergeCell ref="BJ29:BK29"/>
    <mergeCell ref="BE30:BG30"/>
    <mergeCell ref="BJ30:BK30"/>
    <mergeCell ref="BE31:BG31"/>
    <mergeCell ref="BJ31:BK31"/>
  </mergeCell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AL46"/>
  <sheetViews>
    <sheetView showGridLines="0" topLeftCell="A17" zoomScale="90" zoomScaleNormal="90" workbookViewId="0">
      <selection activeCell="C46" sqref="C46"/>
    </sheetView>
  </sheetViews>
  <sheetFormatPr baseColWidth="10" defaultColWidth="11" defaultRowHeight="18" x14ac:dyDescent="0.5"/>
  <cols>
    <col min="1" max="1" width="22.6640625" customWidth="1"/>
    <col min="2" max="2" width="16.21875" customWidth="1"/>
    <col min="4" max="38" width="5.77734375" customWidth="1"/>
  </cols>
  <sheetData>
    <row r="1" spans="1:38" ht="18.600000000000001" thickBot="1" x14ac:dyDescent="0.55000000000000004"/>
    <row r="2" spans="1:38" ht="18.600000000000001" thickBot="1" x14ac:dyDescent="0.55000000000000004">
      <c r="A2" s="749" t="s">
        <v>255</v>
      </c>
      <c r="B2" s="750"/>
      <c r="C2" s="199">
        <f>SUM(C3:C5)</f>
        <v>0</v>
      </c>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3" spans="1:38" ht="18.600000000000001" thickBot="1" x14ac:dyDescent="0.55000000000000004">
      <c r="A3" s="196" t="s">
        <v>256</v>
      </c>
      <c r="B3" s="197" t="s">
        <v>115</v>
      </c>
      <c r="C3" s="198">
        <f>SUM(D3:AL3)</f>
        <v>0</v>
      </c>
      <c r="D3" s="113"/>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5"/>
    </row>
    <row r="4" spans="1:38" ht="18.600000000000001" thickBot="1" x14ac:dyDescent="0.55000000000000004">
      <c r="A4" s="196" t="s">
        <v>257</v>
      </c>
      <c r="B4" s="197" t="s">
        <v>115</v>
      </c>
      <c r="C4" s="198">
        <f t="shared" ref="C4:C36" si="0">SUM(D4:AL4)</f>
        <v>0</v>
      </c>
      <c r="D4" s="113"/>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5"/>
    </row>
    <row r="5" spans="1:38" ht="18.600000000000001" thickBot="1" x14ac:dyDescent="0.55000000000000004">
      <c r="A5" s="196" t="s">
        <v>258</v>
      </c>
      <c r="B5" s="197" t="s">
        <v>115</v>
      </c>
      <c r="C5" s="198">
        <f t="shared" si="0"/>
        <v>0</v>
      </c>
      <c r="D5" s="113"/>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5"/>
    </row>
    <row r="6" spans="1:38" ht="18.600000000000001" thickBot="1" x14ac:dyDescent="0.55000000000000004">
      <c r="A6" s="747" t="s">
        <v>259</v>
      </c>
      <c r="B6" s="748"/>
      <c r="C6" s="199">
        <f>C7+C8+C9+C11+C15+C13+C10</f>
        <v>0</v>
      </c>
      <c r="D6" s="487"/>
      <c r="E6" s="488"/>
      <c r="F6" s="488"/>
      <c r="G6" s="488"/>
      <c r="H6" s="488"/>
      <c r="I6" s="488"/>
      <c r="J6" s="488"/>
      <c r="K6" s="488"/>
      <c r="L6" s="488"/>
      <c r="M6" s="488"/>
      <c r="N6" s="488"/>
      <c r="O6" s="488"/>
      <c r="P6" s="488"/>
      <c r="Q6" s="488"/>
      <c r="R6" s="488"/>
      <c r="S6" s="488"/>
      <c r="T6" s="488"/>
      <c r="U6" s="488"/>
      <c r="V6" s="488"/>
      <c r="W6" s="488"/>
      <c r="X6" s="488"/>
      <c r="Y6" s="488"/>
      <c r="Z6" s="488"/>
      <c r="AA6" s="488"/>
      <c r="AB6" s="488"/>
      <c r="AC6" s="488"/>
      <c r="AD6" s="488"/>
      <c r="AE6" s="488"/>
      <c r="AF6" s="488"/>
      <c r="AG6" s="488"/>
      <c r="AH6" s="488"/>
      <c r="AI6" s="488"/>
      <c r="AJ6" s="488"/>
      <c r="AK6" s="488"/>
      <c r="AL6" s="488"/>
    </row>
    <row r="7" spans="1:38" ht="18.600000000000001" thickBot="1" x14ac:dyDescent="0.55000000000000004">
      <c r="A7" s="200" t="s">
        <v>260</v>
      </c>
      <c r="B7" s="197" t="s">
        <v>115</v>
      </c>
      <c r="C7" s="198">
        <f t="shared" si="0"/>
        <v>0</v>
      </c>
      <c r="D7" s="113"/>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5"/>
    </row>
    <row r="8" spans="1:38" ht="18.600000000000001" thickBot="1" x14ac:dyDescent="0.55000000000000004">
      <c r="A8" s="200" t="s">
        <v>261</v>
      </c>
      <c r="B8" s="197" t="s">
        <v>115</v>
      </c>
      <c r="C8" s="198">
        <f t="shared" si="0"/>
        <v>0</v>
      </c>
      <c r="D8" s="113"/>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5"/>
    </row>
    <row r="9" spans="1:38" ht="18.600000000000001" thickBot="1" x14ac:dyDescent="0.55000000000000004">
      <c r="A9" s="200" t="s">
        <v>262</v>
      </c>
      <c r="B9" s="197" t="s">
        <v>115</v>
      </c>
      <c r="C9" s="198">
        <f>SUM(D9:AL9)</f>
        <v>0</v>
      </c>
      <c r="D9" s="122"/>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8"/>
    </row>
    <row r="10" spans="1:38" ht="18.600000000000001" thickBot="1" x14ac:dyDescent="0.55000000000000004">
      <c r="A10" s="200" t="s">
        <v>263</v>
      </c>
      <c r="B10" s="197" t="s">
        <v>115</v>
      </c>
      <c r="C10" s="198">
        <f>SUM(D10:AL10)</f>
        <v>0</v>
      </c>
      <c r="D10" s="122"/>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8"/>
    </row>
    <row r="11" spans="1:38" x14ac:dyDescent="0.5">
      <c r="A11" s="201" t="s">
        <v>264</v>
      </c>
      <c r="B11" s="202" t="s">
        <v>115</v>
      </c>
      <c r="C11" s="203">
        <f t="shared" ref="C11:C16" si="1">SUM(D11:AL11)</f>
        <v>0</v>
      </c>
      <c r="D11" s="116"/>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8"/>
    </row>
    <row r="12" spans="1:38" ht="18.600000000000001" thickBot="1" x14ac:dyDescent="0.55000000000000004">
      <c r="A12" s="204"/>
      <c r="B12" s="205" t="s">
        <v>265</v>
      </c>
      <c r="C12" s="206">
        <f t="shared" si="1"/>
        <v>0</v>
      </c>
      <c r="D12" s="119"/>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1"/>
    </row>
    <row r="13" spans="1:38" x14ac:dyDescent="0.5">
      <c r="A13" s="201" t="s">
        <v>266</v>
      </c>
      <c r="B13" s="207" t="s">
        <v>115</v>
      </c>
      <c r="C13" s="203">
        <f t="shared" si="1"/>
        <v>0</v>
      </c>
      <c r="D13" s="122"/>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8"/>
    </row>
    <row r="14" spans="1:38" ht="18.600000000000001" thickBot="1" x14ac:dyDescent="0.55000000000000004">
      <c r="A14" s="204"/>
      <c r="B14" s="205" t="s">
        <v>265</v>
      </c>
      <c r="C14" s="206">
        <f t="shared" si="1"/>
        <v>0</v>
      </c>
      <c r="D14" s="123"/>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5"/>
    </row>
    <row r="15" spans="1:38" x14ac:dyDescent="0.5">
      <c r="A15" s="201" t="s">
        <v>267</v>
      </c>
      <c r="B15" s="202" t="s">
        <v>115</v>
      </c>
      <c r="C15" s="203">
        <f t="shared" si="1"/>
        <v>0</v>
      </c>
      <c r="D15" s="122"/>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8"/>
    </row>
    <row r="16" spans="1:38" ht="18.600000000000001" thickBot="1" x14ac:dyDescent="0.55000000000000004">
      <c r="A16" s="204"/>
      <c r="B16" s="205" t="s">
        <v>265</v>
      </c>
      <c r="C16" s="206">
        <f t="shared" si="1"/>
        <v>0</v>
      </c>
      <c r="D16" s="123"/>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5"/>
    </row>
    <row r="17" spans="1:38" ht="18.600000000000001" thickBot="1" x14ac:dyDescent="0.55000000000000004">
      <c r="A17" s="747" t="s">
        <v>268</v>
      </c>
      <c r="B17" s="748"/>
      <c r="C17" s="199">
        <f>C18+C19</f>
        <v>0</v>
      </c>
      <c r="D17" s="487"/>
      <c r="E17" s="488"/>
      <c r="F17" s="488"/>
      <c r="G17" s="488"/>
      <c r="H17" s="488"/>
      <c r="I17" s="488"/>
      <c r="J17" s="488"/>
      <c r="K17" s="488"/>
      <c r="L17" s="488"/>
      <c r="M17" s="488"/>
      <c r="N17" s="488"/>
      <c r="O17" s="488"/>
      <c r="P17" s="488"/>
      <c r="Q17" s="488"/>
      <c r="R17" s="488"/>
      <c r="S17" s="488"/>
      <c r="T17" s="488"/>
      <c r="U17" s="488"/>
      <c r="V17" s="488"/>
      <c r="W17" s="488"/>
      <c r="X17" s="488"/>
      <c r="Y17" s="488"/>
      <c r="Z17" s="488"/>
      <c r="AA17" s="488"/>
      <c r="AB17" s="488"/>
      <c r="AC17" s="488"/>
      <c r="AD17" s="488"/>
      <c r="AE17" s="488"/>
      <c r="AF17" s="488"/>
      <c r="AG17" s="488"/>
      <c r="AH17" s="488"/>
      <c r="AI17" s="488"/>
      <c r="AJ17" s="488"/>
      <c r="AK17" s="488"/>
      <c r="AL17" s="488"/>
    </row>
    <row r="18" spans="1:38" ht="18.600000000000001" thickBot="1" x14ac:dyDescent="0.55000000000000004">
      <c r="A18" s="200" t="s">
        <v>269</v>
      </c>
      <c r="B18" s="197" t="s">
        <v>115</v>
      </c>
      <c r="C18" s="198">
        <f t="shared" si="0"/>
        <v>0</v>
      </c>
      <c r="D18" s="113"/>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5"/>
    </row>
    <row r="19" spans="1:38" ht="18.600000000000001" thickBot="1" x14ac:dyDescent="0.55000000000000004">
      <c r="A19" s="200" t="s">
        <v>270</v>
      </c>
      <c r="B19" s="197" t="s">
        <v>115</v>
      </c>
      <c r="C19" s="198">
        <f t="shared" si="0"/>
        <v>0</v>
      </c>
      <c r="D19" s="113"/>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5"/>
    </row>
    <row r="20" spans="1:38" ht="18.600000000000001" thickBot="1" x14ac:dyDescent="0.55000000000000004">
      <c r="A20" s="747" t="s">
        <v>271</v>
      </c>
      <c r="B20" s="748"/>
      <c r="C20" s="276">
        <f>C21+C22</f>
        <v>0</v>
      </c>
    </row>
    <row r="21" spans="1:38" ht="18.600000000000001" thickBot="1" x14ac:dyDescent="0.55000000000000004">
      <c r="A21" s="263" t="s">
        <v>272</v>
      </c>
      <c r="B21" s="264" t="s">
        <v>115</v>
      </c>
      <c r="C21" s="275">
        <f>SUM(D21:AL21)</f>
        <v>0</v>
      </c>
      <c r="D21" s="113"/>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5"/>
    </row>
    <row r="22" spans="1:38" ht="18.600000000000001" thickBot="1" x14ac:dyDescent="0.55000000000000004">
      <c r="A22" s="263" t="s">
        <v>273</v>
      </c>
      <c r="B22" s="264" t="s">
        <v>115</v>
      </c>
      <c r="C22" s="275">
        <f>SUM(D22:AL22)</f>
        <v>0</v>
      </c>
      <c r="D22" s="113"/>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5"/>
    </row>
    <row r="23" spans="1:38" ht="18.600000000000001" thickBot="1" x14ac:dyDescent="0.55000000000000004">
      <c r="A23" s="747" t="s">
        <v>274</v>
      </c>
      <c r="B23" s="748"/>
      <c r="C23" s="199">
        <f>C24+C25</f>
        <v>0</v>
      </c>
      <c r="D23" s="487"/>
      <c r="E23" s="488"/>
      <c r="F23" s="488"/>
      <c r="G23" s="488"/>
      <c r="H23" s="488"/>
      <c r="I23" s="488"/>
      <c r="J23" s="488"/>
      <c r="K23" s="488"/>
      <c r="L23" s="488"/>
      <c r="M23" s="488"/>
      <c r="N23" s="488"/>
      <c r="O23" s="488"/>
      <c r="P23" s="488"/>
      <c r="Q23" s="488"/>
      <c r="R23" s="488"/>
      <c r="S23" s="488"/>
      <c r="T23" s="488"/>
      <c r="U23" s="488"/>
      <c r="V23" s="488"/>
      <c r="W23" s="488"/>
      <c r="X23" s="488"/>
      <c r="Y23" s="488"/>
      <c r="Z23" s="488"/>
      <c r="AA23" s="488"/>
      <c r="AB23" s="488"/>
      <c r="AC23" s="488"/>
      <c r="AD23" s="488"/>
      <c r="AE23" s="488"/>
      <c r="AF23" s="488"/>
      <c r="AG23" s="488"/>
      <c r="AH23" s="488"/>
      <c r="AI23" s="488"/>
      <c r="AJ23" s="488"/>
      <c r="AK23" s="488"/>
      <c r="AL23" s="488"/>
    </row>
    <row r="24" spans="1:38" ht="18.600000000000001" thickBot="1" x14ac:dyDescent="0.55000000000000004">
      <c r="A24" s="200" t="s">
        <v>275</v>
      </c>
      <c r="B24" s="197" t="s">
        <v>115</v>
      </c>
      <c r="C24" s="198">
        <f t="shared" si="0"/>
        <v>0</v>
      </c>
      <c r="D24" s="113"/>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5"/>
    </row>
    <row r="25" spans="1:38" ht="18.600000000000001" thickBot="1" x14ac:dyDescent="0.55000000000000004">
      <c r="A25" s="200" t="s">
        <v>276</v>
      </c>
      <c r="B25" s="197" t="s">
        <v>115</v>
      </c>
      <c r="C25" s="198">
        <f t="shared" si="0"/>
        <v>0</v>
      </c>
      <c r="D25" s="113"/>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5"/>
    </row>
    <row r="26" spans="1:38" ht="18.600000000000001" thickBot="1" x14ac:dyDescent="0.55000000000000004">
      <c r="A26" s="747" t="s">
        <v>277</v>
      </c>
      <c r="B26" s="748"/>
      <c r="C26" s="199">
        <f>C27+C28+C29</f>
        <v>0</v>
      </c>
      <c r="D26" s="487"/>
      <c r="E26" s="488"/>
      <c r="F26" s="488"/>
      <c r="G26" s="488"/>
      <c r="H26" s="488"/>
      <c r="I26" s="488"/>
      <c r="J26" s="488"/>
      <c r="K26" s="488"/>
      <c r="L26" s="488"/>
      <c r="M26" s="488"/>
      <c r="N26" s="488"/>
      <c r="O26" s="488"/>
      <c r="P26" s="488"/>
      <c r="Q26" s="488"/>
      <c r="R26" s="488"/>
      <c r="S26" s="488"/>
      <c r="T26" s="488"/>
      <c r="U26" s="488"/>
      <c r="V26" s="488"/>
      <c r="W26" s="488"/>
      <c r="X26" s="488"/>
      <c r="Y26" s="488"/>
      <c r="Z26" s="488"/>
      <c r="AA26" s="488"/>
      <c r="AB26" s="488"/>
      <c r="AC26" s="488"/>
      <c r="AD26" s="488"/>
      <c r="AE26" s="488"/>
      <c r="AF26" s="488"/>
      <c r="AG26" s="488"/>
      <c r="AH26" s="488"/>
      <c r="AI26" s="488"/>
      <c r="AJ26" s="488"/>
      <c r="AK26" s="488"/>
      <c r="AL26" s="488"/>
    </row>
    <row r="27" spans="1:38" ht="18.600000000000001" thickBot="1" x14ac:dyDescent="0.55000000000000004">
      <c r="A27" s="200" t="s">
        <v>278</v>
      </c>
      <c r="B27" s="197" t="s">
        <v>115</v>
      </c>
      <c r="C27" s="198">
        <f t="shared" si="0"/>
        <v>0</v>
      </c>
      <c r="D27" s="738" t="s">
        <v>279</v>
      </c>
      <c r="E27" s="739"/>
      <c r="F27" s="114"/>
      <c r="G27" s="114"/>
      <c r="H27" s="114"/>
      <c r="I27" s="114"/>
      <c r="J27" s="114"/>
      <c r="K27" s="114"/>
      <c r="L27" s="114"/>
      <c r="M27" s="114"/>
      <c r="N27" s="114"/>
      <c r="O27" s="114"/>
      <c r="P27" s="114"/>
      <c r="Q27" s="114"/>
      <c r="R27" s="114"/>
      <c r="S27" s="114" t="s">
        <v>245</v>
      </c>
      <c r="T27" s="114"/>
      <c r="U27" s="114"/>
      <c r="V27" s="114"/>
      <c r="W27" s="114"/>
      <c r="X27" s="114"/>
      <c r="Y27" s="114"/>
      <c r="Z27" s="114"/>
      <c r="AA27" s="114"/>
      <c r="AB27" s="114"/>
      <c r="AC27" s="114"/>
      <c r="AD27" s="114"/>
      <c r="AE27" s="114"/>
      <c r="AF27" s="114"/>
      <c r="AG27" s="114"/>
      <c r="AH27" s="114"/>
      <c r="AI27" s="114"/>
      <c r="AJ27" s="114"/>
      <c r="AK27" s="114"/>
      <c r="AL27" s="115"/>
    </row>
    <row r="28" spans="1:38" ht="18.600000000000001" thickBot="1" x14ac:dyDescent="0.55000000000000004">
      <c r="A28" s="200" t="s">
        <v>280</v>
      </c>
      <c r="B28" s="197" t="s">
        <v>115</v>
      </c>
      <c r="C28" s="198">
        <f t="shared" si="0"/>
        <v>0</v>
      </c>
      <c r="D28" s="113"/>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5"/>
    </row>
    <row r="29" spans="1:38" ht="18.600000000000001" thickBot="1" x14ac:dyDescent="0.55000000000000004">
      <c r="A29" s="200" t="s">
        <v>281</v>
      </c>
      <c r="B29" s="197" t="s">
        <v>115</v>
      </c>
      <c r="C29" s="198">
        <f t="shared" si="0"/>
        <v>0</v>
      </c>
      <c r="D29" s="113"/>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5"/>
    </row>
    <row r="30" spans="1:38" ht="18.600000000000001" thickBot="1" x14ac:dyDescent="0.55000000000000004">
      <c r="A30" s="747" t="s">
        <v>282</v>
      </c>
      <c r="B30" s="748"/>
      <c r="C30" s="199">
        <f>C31+C33+C34+C36+C32+C38</f>
        <v>0</v>
      </c>
      <c r="D30" s="487"/>
      <c r="E30" s="488"/>
      <c r="F30" s="488"/>
      <c r="G30" s="488"/>
      <c r="H30" s="488"/>
      <c r="I30" s="488"/>
      <c r="J30" s="488"/>
      <c r="K30" s="488"/>
      <c r="L30" s="488"/>
      <c r="M30" s="488"/>
      <c r="N30" s="488"/>
      <c r="O30" s="488"/>
      <c r="P30" s="488"/>
      <c r="Q30" s="488"/>
      <c r="R30" s="488"/>
      <c r="S30" s="488"/>
      <c r="T30" s="488"/>
      <c r="U30" s="488"/>
      <c r="V30" s="488"/>
      <c r="W30" s="488"/>
      <c r="X30" s="488"/>
      <c r="Y30" s="488"/>
      <c r="Z30" s="488"/>
      <c r="AA30" s="488"/>
      <c r="AB30" s="488"/>
      <c r="AC30" s="488"/>
      <c r="AD30" s="488"/>
      <c r="AE30" s="488"/>
      <c r="AF30" s="488"/>
      <c r="AG30" s="488"/>
      <c r="AH30" s="488"/>
      <c r="AI30" s="488"/>
      <c r="AJ30" s="488"/>
      <c r="AK30" s="488"/>
      <c r="AL30" s="488"/>
    </row>
    <row r="31" spans="1:38" ht="18.600000000000001" thickBot="1" x14ac:dyDescent="0.55000000000000004">
      <c r="A31" s="200" t="s">
        <v>283</v>
      </c>
      <c r="B31" s="197" t="s">
        <v>115</v>
      </c>
      <c r="C31" s="198">
        <f t="shared" si="0"/>
        <v>0</v>
      </c>
      <c r="D31" s="113"/>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5"/>
    </row>
    <row r="32" spans="1:38" ht="18.600000000000001" thickBot="1" x14ac:dyDescent="0.55000000000000004">
      <c r="A32" s="200" t="s">
        <v>284</v>
      </c>
      <c r="B32" s="197" t="s">
        <v>115</v>
      </c>
      <c r="C32" s="198">
        <f>SUM(D32:AL32)</f>
        <v>0</v>
      </c>
      <c r="D32" s="113"/>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5"/>
    </row>
    <row r="33" spans="1:38" ht="18.600000000000001" thickBot="1" x14ac:dyDescent="0.55000000000000004">
      <c r="A33" s="200" t="s">
        <v>285</v>
      </c>
      <c r="B33" s="197" t="s">
        <v>115</v>
      </c>
      <c r="C33" s="198">
        <f t="shared" si="0"/>
        <v>0</v>
      </c>
      <c r="D33" s="113"/>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5"/>
    </row>
    <row r="34" spans="1:38" x14ac:dyDescent="0.5">
      <c r="A34" s="751" t="s">
        <v>286</v>
      </c>
      <c r="B34" s="202" t="s">
        <v>115</v>
      </c>
      <c r="C34" s="203">
        <f t="shared" si="0"/>
        <v>0</v>
      </c>
      <c r="D34" s="122"/>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8"/>
    </row>
    <row r="35" spans="1:38" ht="18.600000000000001" thickBot="1" x14ac:dyDescent="0.55000000000000004">
      <c r="A35" s="752"/>
      <c r="B35" s="205" t="s">
        <v>265</v>
      </c>
      <c r="C35" s="206">
        <f t="shared" si="0"/>
        <v>0</v>
      </c>
      <c r="D35" s="123"/>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30"/>
    </row>
    <row r="36" spans="1:38" x14ac:dyDescent="0.5">
      <c r="A36" s="751" t="s">
        <v>287</v>
      </c>
      <c r="B36" s="202" t="s">
        <v>115</v>
      </c>
      <c r="C36" s="203">
        <f t="shared" si="0"/>
        <v>0</v>
      </c>
      <c r="D36" s="122"/>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8"/>
    </row>
    <row r="37" spans="1:38" ht="18.600000000000001" thickBot="1" x14ac:dyDescent="0.55000000000000004">
      <c r="A37" s="752"/>
      <c r="B37" s="210" t="s">
        <v>288</v>
      </c>
      <c r="C37" s="211">
        <f>SUM(D37:AL37)</f>
        <v>0</v>
      </c>
      <c r="D37" s="123"/>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30"/>
    </row>
    <row r="38" spans="1:38" ht="18.600000000000001" thickBot="1" x14ac:dyDescent="0.55000000000000004">
      <c r="A38" s="200" t="s">
        <v>289</v>
      </c>
      <c r="B38" s="197" t="s">
        <v>115</v>
      </c>
      <c r="C38" s="198">
        <f>SUM(D38:AL38)</f>
        <v>0</v>
      </c>
      <c r="D38" s="114" t="s">
        <v>290</v>
      </c>
      <c r="E38" s="114">
        <f>90*Exploitation!B17+0.0019*'Bilan complet'!FY9</f>
        <v>0</v>
      </c>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5"/>
    </row>
    <row r="39" spans="1:38" ht="18.600000000000001" thickBot="1" x14ac:dyDescent="0.55000000000000004">
      <c r="A39" s="746" t="s">
        <v>291</v>
      </c>
      <c r="B39" s="746"/>
      <c r="C39" s="214">
        <f>C30+C26+C23+C17+C6+C2+C20+C46</f>
        <v>0</v>
      </c>
    </row>
    <row r="40" spans="1:38" ht="18.600000000000001" thickBot="1" x14ac:dyDescent="0.55000000000000004">
      <c r="A40" s="740" t="s">
        <v>292</v>
      </c>
      <c r="B40" s="741"/>
      <c r="C40" s="212">
        <f>Amortissements!F26</f>
        <v>0</v>
      </c>
    </row>
    <row r="41" spans="1:38" ht="18.600000000000001" thickBot="1" x14ac:dyDescent="0.55000000000000004">
      <c r="A41" s="740" t="s">
        <v>293</v>
      </c>
      <c r="B41" s="741"/>
      <c r="C41" s="213">
        <f>Amortissements!N26</f>
        <v>0</v>
      </c>
      <c r="D41" s="486"/>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row>
    <row r="42" spans="1:38" ht="18.600000000000001" thickBot="1" x14ac:dyDescent="0.55000000000000004">
      <c r="A42" s="746" t="s">
        <v>294</v>
      </c>
      <c r="B42" s="746"/>
      <c r="C42" s="214">
        <f>C39+C40+C41</f>
        <v>0</v>
      </c>
    </row>
    <row r="43" spans="1:38" ht="18.600000000000001" thickBot="1" x14ac:dyDescent="0.55000000000000004">
      <c r="A43" s="208" t="s">
        <v>295</v>
      </c>
      <c r="B43" s="209" t="s">
        <v>115</v>
      </c>
      <c r="C43" s="209">
        <f>SUM(D43:AL43)</f>
        <v>0</v>
      </c>
      <c r="D43" s="113"/>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5"/>
    </row>
    <row r="44" spans="1:38" x14ac:dyDescent="0.5">
      <c r="A44" s="742" t="s">
        <v>296</v>
      </c>
      <c r="B44" s="744" t="s">
        <v>151</v>
      </c>
      <c r="C44" s="745"/>
      <c r="D44" s="116"/>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8"/>
    </row>
    <row r="45" spans="1:38" ht="18.600000000000001" thickBot="1" x14ac:dyDescent="0.55000000000000004">
      <c r="A45" s="743"/>
      <c r="B45" s="218" t="s">
        <v>115</v>
      </c>
      <c r="C45" s="219">
        <f>SUM(D45:AL45)</f>
        <v>0</v>
      </c>
      <c r="D45" s="126"/>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5"/>
    </row>
    <row r="46" spans="1:38" ht="18.600000000000001" thickBot="1" x14ac:dyDescent="0.55000000000000004">
      <c r="A46" s="208" t="s">
        <v>297</v>
      </c>
      <c r="B46" s="209" t="s">
        <v>115</v>
      </c>
      <c r="C46" s="209">
        <f>SUM(D46:AL46)</f>
        <v>0</v>
      </c>
      <c r="D46" s="113"/>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5"/>
    </row>
  </sheetData>
  <mergeCells count="16">
    <mergeCell ref="A26:B26"/>
    <mergeCell ref="A42:B42"/>
    <mergeCell ref="A2:B2"/>
    <mergeCell ref="A6:B6"/>
    <mergeCell ref="A17:B17"/>
    <mergeCell ref="A23:B23"/>
    <mergeCell ref="A36:A37"/>
    <mergeCell ref="A34:A35"/>
    <mergeCell ref="A20:B20"/>
    <mergeCell ref="D27:E27"/>
    <mergeCell ref="A40:B40"/>
    <mergeCell ref="A41:B41"/>
    <mergeCell ref="A44:A45"/>
    <mergeCell ref="B44:C44"/>
    <mergeCell ref="A39:B39"/>
    <mergeCell ref="A30:B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N26"/>
  <sheetViews>
    <sheetView zoomScale="90" zoomScaleNormal="90" workbookViewId="0">
      <selection activeCell="H1" sqref="H1"/>
    </sheetView>
  </sheetViews>
  <sheetFormatPr baseColWidth="10" defaultColWidth="11" defaultRowHeight="18" x14ac:dyDescent="0.5"/>
  <cols>
    <col min="1" max="1" width="27.77734375" customWidth="1"/>
    <col min="2" max="2" width="13" customWidth="1"/>
    <col min="4" max="4" width="17" customWidth="1"/>
    <col min="5" max="5" width="18.21875" customWidth="1"/>
    <col min="6" max="6" width="14.44140625" customWidth="1"/>
    <col min="9" max="9" width="31" customWidth="1"/>
    <col min="10" max="10" width="11.21875" customWidth="1"/>
    <col min="11" max="11" width="10.109375" customWidth="1"/>
    <col min="12" max="12" width="18.21875" customWidth="1"/>
    <col min="13" max="13" width="10" customWidth="1"/>
    <col min="14" max="14" width="14.109375" customWidth="1"/>
  </cols>
  <sheetData>
    <row r="1" spans="1:14" ht="15" customHeight="1" x14ac:dyDescent="0.5"/>
    <row r="2" spans="1:14" x14ac:dyDescent="0.5">
      <c r="A2" s="755" t="s">
        <v>292</v>
      </c>
      <c r="B2" s="753" t="s">
        <v>298</v>
      </c>
      <c r="C2" s="753" t="s">
        <v>299</v>
      </c>
      <c r="D2" s="753" t="s">
        <v>300</v>
      </c>
      <c r="E2" s="753" t="s">
        <v>301</v>
      </c>
      <c r="F2" s="753" t="s">
        <v>302</v>
      </c>
      <c r="I2" s="755" t="s">
        <v>303</v>
      </c>
      <c r="J2" s="753" t="s">
        <v>298</v>
      </c>
      <c r="K2" s="753" t="s">
        <v>304</v>
      </c>
      <c r="L2" s="753" t="s">
        <v>300</v>
      </c>
      <c r="M2" s="753" t="s">
        <v>301</v>
      </c>
      <c r="N2" s="753" t="s">
        <v>302</v>
      </c>
    </row>
    <row r="3" spans="1:14" x14ac:dyDescent="0.5">
      <c r="A3" s="755"/>
      <c r="B3" s="753"/>
      <c r="C3" s="753"/>
      <c r="D3" s="753"/>
      <c r="E3" s="753"/>
      <c r="F3" s="753"/>
      <c r="I3" s="755"/>
      <c r="J3" s="753"/>
      <c r="K3" s="753"/>
      <c r="L3" s="753"/>
      <c r="M3" s="753"/>
      <c r="N3" s="753"/>
    </row>
    <row r="4" spans="1:14" x14ac:dyDescent="0.5">
      <c r="A4" s="261"/>
      <c r="B4" s="262"/>
      <c r="C4" s="261"/>
      <c r="D4" s="261"/>
      <c r="E4" s="131">
        <f>C4+D4</f>
        <v>0</v>
      </c>
      <c r="F4" s="215">
        <f>IF(E4&gt;=Exploitation!B$2,B4/D4,0)</f>
        <v>0</v>
      </c>
      <c r="I4" s="261"/>
      <c r="J4" s="262"/>
      <c r="K4" s="261"/>
      <c r="L4" s="261"/>
      <c r="M4" s="131">
        <f>K4+L4</f>
        <v>0</v>
      </c>
      <c r="N4" s="215">
        <f>IF(M4&gt;=Exploitation!B$2,J4/L4,0)</f>
        <v>0</v>
      </c>
    </row>
    <row r="5" spans="1:14" ht="18" customHeight="1" x14ac:dyDescent="0.5">
      <c r="A5" s="261"/>
      <c r="B5" s="262"/>
      <c r="C5" s="261"/>
      <c r="D5" s="261"/>
      <c r="E5" s="131">
        <f t="shared" ref="E5:E25" si="0">C5+D5</f>
        <v>0</v>
      </c>
      <c r="F5" s="215">
        <f>IF(E5&gt;=Exploitation!B$2,B5/D5,0)</f>
        <v>0</v>
      </c>
      <c r="I5" s="261"/>
      <c r="J5" s="262"/>
      <c r="K5" s="261"/>
      <c r="L5" s="261"/>
      <c r="M5" s="131">
        <f t="shared" ref="M5:M25" si="1">K5+L5</f>
        <v>0</v>
      </c>
      <c r="N5" s="215">
        <f>IF(M5&gt;=Exploitation!B$2,J5/L5,0)</f>
        <v>0</v>
      </c>
    </row>
    <row r="6" spans="1:14" ht="18" customHeight="1" x14ac:dyDescent="0.5">
      <c r="A6" s="261"/>
      <c r="B6" s="262"/>
      <c r="C6" s="261"/>
      <c r="D6" s="261"/>
      <c r="E6" s="131">
        <f t="shared" si="0"/>
        <v>0</v>
      </c>
      <c r="F6" s="215">
        <f>IF(E6&gt;=Exploitation!B$2,B6/D6,0)</f>
        <v>0</v>
      </c>
      <c r="I6" s="261"/>
      <c r="J6" s="262"/>
      <c r="K6" s="261"/>
      <c r="L6" s="261"/>
      <c r="M6" s="131">
        <f t="shared" si="1"/>
        <v>0</v>
      </c>
      <c r="N6" s="215">
        <f>IF(M6&gt;=Exploitation!B$2,J6/L6,0)</f>
        <v>0</v>
      </c>
    </row>
    <row r="7" spans="1:14" ht="18" customHeight="1" x14ac:dyDescent="0.5">
      <c r="A7" s="261"/>
      <c r="B7" s="262"/>
      <c r="C7" s="261"/>
      <c r="D7" s="261"/>
      <c r="E7" s="131">
        <f t="shared" si="0"/>
        <v>0</v>
      </c>
      <c r="F7" s="215">
        <f>IF(E7&gt;=Exploitation!B$2,B7/D7,0)</f>
        <v>0</v>
      </c>
      <c r="I7" s="261"/>
      <c r="J7" s="262"/>
      <c r="K7" s="261"/>
      <c r="L7" s="261"/>
      <c r="M7" s="131">
        <f t="shared" si="1"/>
        <v>0</v>
      </c>
      <c r="N7" s="215">
        <f>IF(M7&gt;=Exploitation!B$2,J7/L7,0)</f>
        <v>0</v>
      </c>
    </row>
    <row r="8" spans="1:14" ht="18" customHeight="1" x14ac:dyDescent="0.5">
      <c r="A8" s="261"/>
      <c r="B8" s="262"/>
      <c r="C8" s="261"/>
      <c r="D8" s="261"/>
      <c r="E8" s="131">
        <f t="shared" si="0"/>
        <v>0</v>
      </c>
      <c r="F8" s="215">
        <f>IF(E8&gt;=Exploitation!B$2,B8/D8,0)</f>
        <v>0</v>
      </c>
      <c r="I8" s="261"/>
      <c r="J8" s="262"/>
      <c r="K8" s="261"/>
      <c r="L8" s="261"/>
      <c r="M8" s="131">
        <f t="shared" si="1"/>
        <v>0</v>
      </c>
      <c r="N8" s="215">
        <f>IF(M8&gt;=Exploitation!B$2,J8/L8,0)</f>
        <v>0</v>
      </c>
    </row>
    <row r="9" spans="1:14" ht="18" customHeight="1" x14ac:dyDescent="0.5">
      <c r="A9" s="261"/>
      <c r="B9" s="262"/>
      <c r="C9" s="261"/>
      <c r="D9" s="261"/>
      <c r="E9" s="131">
        <f t="shared" si="0"/>
        <v>0</v>
      </c>
      <c r="F9" s="215">
        <f>IF(E9&gt;=Exploitation!B$2,B9/D9,0)</f>
        <v>0</v>
      </c>
      <c r="I9" s="261"/>
      <c r="J9" s="262"/>
      <c r="K9" s="261"/>
      <c r="L9" s="261"/>
      <c r="M9" s="131">
        <f t="shared" si="1"/>
        <v>0</v>
      </c>
      <c r="N9" s="215">
        <f>IF(M9&gt;=Exploitation!B$2,J9/L9,0)</f>
        <v>0</v>
      </c>
    </row>
    <row r="10" spans="1:14" ht="18" customHeight="1" x14ac:dyDescent="0.5">
      <c r="A10" s="261"/>
      <c r="B10" s="262"/>
      <c r="C10" s="261"/>
      <c r="D10" s="261"/>
      <c r="E10" s="131">
        <f t="shared" si="0"/>
        <v>0</v>
      </c>
      <c r="F10" s="215">
        <f>IF(E10&gt;=Exploitation!B$2,B10/D10,0)</f>
        <v>0</v>
      </c>
      <c r="I10" s="261"/>
      <c r="J10" s="262"/>
      <c r="K10" s="261"/>
      <c r="L10" s="261"/>
      <c r="M10" s="131">
        <f t="shared" si="1"/>
        <v>0</v>
      </c>
      <c r="N10" s="215">
        <f>IF(M10&gt;=Exploitation!B$2,J10/L10,0)</f>
        <v>0</v>
      </c>
    </row>
    <row r="11" spans="1:14" ht="18" customHeight="1" x14ac:dyDescent="0.5">
      <c r="A11" s="261"/>
      <c r="B11" s="262"/>
      <c r="C11" s="261"/>
      <c r="D11" s="261"/>
      <c r="E11" s="131">
        <f t="shared" si="0"/>
        <v>0</v>
      </c>
      <c r="F11" s="215">
        <f>IF(E11&gt;=Exploitation!B$2,B11/D11,0)</f>
        <v>0</v>
      </c>
      <c r="I11" s="261"/>
      <c r="J11" s="262"/>
      <c r="K11" s="261"/>
      <c r="L11" s="261"/>
      <c r="M11" s="131">
        <f t="shared" si="1"/>
        <v>0</v>
      </c>
      <c r="N11" s="215">
        <f>IF(M11&gt;=Exploitation!B$2,J11/L11,0)</f>
        <v>0</v>
      </c>
    </row>
    <row r="12" spans="1:14" ht="18" customHeight="1" x14ac:dyDescent="0.5">
      <c r="A12" s="261"/>
      <c r="B12" s="262"/>
      <c r="C12" s="261"/>
      <c r="D12" s="261"/>
      <c r="E12" s="131">
        <f t="shared" si="0"/>
        <v>0</v>
      </c>
      <c r="F12" s="215">
        <f>IF(E12&gt;=Exploitation!B$2,B12/D12,0)</f>
        <v>0</v>
      </c>
      <c r="I12" s="261"/>
      <c r="J12" s="261"/>
      <c r="K12" s="261"/>
      <c r="L12" s="261"/>
      <c r="M12" s="131">
        <f t="shared" si="1"/>
        <v>0</v>
      </c>
      <c r="N12" s="215">
        <f>IF(M12&gt;=Exploitation!B$2,J12/L12,0)</f>
        <v>0</v>
      </c>
    </row>
    <row r="13" spans="1:14" ht="18" customHeight="1" x14ac:dyDescent="0.5">
      <c r="A13" s="261"/>
      <c r="B13" s="262"/>
      <c r="C13" s="261"/>
      <c r="D13" s="261"/>
      <c r="E13" s="131">
        <f t="shared" si="0"/>
        <v>0</v>
      </c>
      <c r="F13" s="215">
        <f>IF(E13&gt;=Exploitation!B$2,B13/D13,0)</f>
        <v>0</v>
      </c>
      <c r="I13" s="261"/>
      <c r="J13" s="261"/>
      <c r="K13" s="261"/>
      <c r="L13" s="261"/>
      <c r="M13" s="131">
        <f t="shared" si="1"/>
        <v>0</v>
      </c>
      <c r="N13" s="215">
        <f>IF(M13&gt;=Exploitation!B$2,J13/L13,0)</f>
        <v>0</v>
      </c>
    </row>
    <row r="14" spans="1:14" ht="18" customHeight="1" x14ac:dyDescent="0.5">
      <c r="A14" s="261"/>
      <c r="B14" s="262"/>
      <c r="C14" s="261"/>
      <c r="D14" s="261"/>
      <c r="E14" s="131">
        <f t="shared" si="0"/>
        <v>0</v>
      </c>
      <c r="F14" s="215">
        <f>IF(E14&gt;=Exploitation!B$2,B14/D14,0)</f>
        <v>0</v>
      </c>
      <c r="I14" s="261"/>
      <c r="J14" s="261"/>
      <c r="K14" s="261"/>
      <c r="L14" s="261"/>
      <c r="M14" s="131">
        <f t="shared" si="1"/>
        <v>0</v>
      </c>
      <c r="N14" s="215">
        <f>IF(M14&gt;=Exploitation!B$2,J14/L14,0)</f>
        <v>0</v>
      </c>
    </row>
    <row r="15" spans="1:14" ht="18" customHeight="1" x14ac:dyDescent="0.5">
      <c r="A15" s="261"/>
      <c r="B15" s="262"/>
      <c r="C15" s="261"/>
      <c r="D15" s="261"/>
      <c r="E15" s="131">
        <f t="shared" si="0"/>
        <v>0</v>
      </c>
      <c r="F15" s="215">
        <f>IF(E15&gt;=Exploitation!B$2,B15/D15,0)</f>
        <v>0</v>
      </c>
      <c r="I15" s="261"/>
      <c r="J15" s="261"/>
      <c r="K15" s="261"/>
      <c r="L15" s="261"/>
      <c r="M15" s="131">
        <f t="shared" si="1"/>
        <v>0</v>
      </c>
      <c r="N15" s="215">
        <f>IF(M15&gt;=Exploitation!B$2,J15/L15,0)</f>
        <v>0</v>
      </c>
    </row>
    <row r="16" spans="1:14" ht="18" customHeight="1" x14ac:dyDescent="0.5">
      <c r="A16" s="261"/>
      <c r="B16" s="262"/>
      <c r="C16" s="261"/>
      <c r="D16" s="261"/>
      <c r="E16" s="131">
        <f t="shared" si="0"/>
        <v>0</v>
      </c>
      <c r="F16" s="215">
        <f>IF(E16&gt;=Exploitation!B$2,B16/D16,0)</f>
        <v>0</v>
      </c>
      <c r="I16" s="261"/>
      <c r="J16" s="261"/>
      <c r="K16" s="261"/>
      <c r="L16" s="261"/>
      <c r="M16" s="131">
        <f t="shared" si="1"/>
        <v>0</v>
      </c>
      <c r="N16" s="215">
        <f>IF(M16&gt;=Exploitation!B$2,J16/L16,0)</f>
        <v>0</v>
      </c>
    </row>
    <row r="17" spans="1:14" ht="18" customHeight="1" x14ac:dyDescent="0.5">
      <c r="A17" s="261"/>
      <c r="B17" s="262"/>
      <c r="C17" s="261"/>
      <c r="D17" s="261"/>
      <c r="E17" s="131">
        <f t="shared" si="0"/>
        <v>0</v>
      </c>
      <c r="F17" s="215">
        <f>IF(E17&gt;=Exploitation!B$2,B17/D17,0)</f>
        <v>0</v>
      </c>
      <c r="I17" s="261"/>
      <c r="J17" s="261"/>
      <c r="K17" s="261"/>
      <c r="L17" s="261"/>
      <c r="M17" s="131">
        <f t="shared" si="1"/>
        <v>0</v>
      </c>
      <c r="N17" s="215">
        <f>IF(M17&gt;=Exploitation!B$2,J17/L17,0)</f>
        <v>0</v>
      </c>
    </row>
    <row r="18" spans="1:14" ht="18" customHeight="1" x14ac:dyDescent="0.5">
      <c r="A18" s="261"/>
      <c r="B18" s="262"/>
      <c r="C18" s="261"/>
      <c r="D18" s="261"/>
      <c r="E18" s="131">
        <f t="shared" si="0"/>
        <v>0</v>
      </c>
      <c r="F18" s="215">
        <f>IF(E18&gt;=Exploitation!B$2,B18/D18,0)</f>
        <v>0</v>
      </c>
      <c r="I18" s="261"/>
      <c r="J18" s="261"/>
      <c r="K18" s="261"/>
      <c r="L18" s="261"/>
      <c r="M18" s="131">
        <f t="shared" si="1"/>
        <v>0</v>
      </c>
      <c r="N18" s="215">
        <f>IF(M18&gt;=Exploitation!B$2,J18/L18,0)</f>
        <v>0</v>
      </c>
    </row>
    <row r="19" spans="1:14" ht="18" customHeight="1" x14ac:dyDescent="0.5">
      <c r="A19" s="261"/>
      <c r="B19" s="262"/>
      <c r="C19" s="261"/>
      <c r="D19" s="261"/>
      <c r="E19" s="131">
        <f t="shared" si="0"/>
        <v>0</v>
      </c>
      <c r="F19" s="215">
        <f>IF(E19&gt;=Exploitation!B$2,B19/D19,0)</f>
        <v>0</v>
      </c>
      <c r="I19" s="261"/>
      <c r="J19" s="261"/>
      <c r="K19" s="261"/>
      <c r="L19" s="261"/>
      <c r="M19" s="131">
        <f t="shared" si="1"/>
        <v>0</v>
      </c>
      <c r="N19" s="215">
        <f>IF(M19&gt;=Exploitation!B$2,J19/L19,0)</f>
        <v>0</v>
      </c>
    </row>
    <row r="20" spans="1:14" ht="18" customHeight="1" x14ac:dyDescent="0.5">
      <c r="A20" s="261"/>
      <c r="B20" s="262"/>
      <c r="C20" s="261"/>
      <c r="D20" s="261"/>
      <c r="E20" s="131">
        <f t="shared" si="0"/>
        <v>0</v>
      </c>
      <c r="F20" s="215">
        <f>IF(E20&gt;=Exploitation!B$2,B20/D20,0)</f>
        <v>0</v>
      </c>
      <c r="I20" s="261"/>
      <c r="J20" s="261"/>
      <c r="K20" s="261"/>
      <c r="L20" s="261"/>
      <c r="M20" s="131">
        <f t="shared" si="1"/>
        <v>0</v>
      </c>
      <c r="N20" s="215">
        <f>IF(M20&gt;=Exploitation!B$2,J20/L20,0)</f>
        <v>0</v>
      </c>
    </row>
    <row r="21" spans="1:14" ht="18" customHeight="1" x14ac:dyDescent="0.5">
      <c r="A21" s="261"/>
      <c r="B21" s="262"/>
      <c r="C21" s="261"/>
      <c r="D21" s="261"/>
      <c r="E21" s="131">
        <f t="shared" si="0"/>
        <v>0</v>
      </c>
      <c r="F21" s="215">
        <f>IF(E21&gt;=Exploitation!B$2,B21/D21,0)</f>
        <v>0</v>
      </c>
      <c r="I21" s="261"/>
      <c r="J21" s="261"/>
      <c r="K21" s="261"/>
      <c r="L21" s="261"/>
      <c r="M21" s="131">
        <f t="shared" si="1"/>
        <v>0</v>
      </c>
      <c r="N21" s="215">
        <f>IF(M21&gt;=Exploitation!B$2,J21/L21,0)</f>
        <v>0</v>
      </c>
    </row>
    <row r="22" spans="1:14" ht="18" customHeight="1" x14ac:dyDescent="0.5">
      <c r="A22" s="261"/>
      <c r="B22" s="262"/>
      <c r="C22" s="261"/>
      <c r="D22" s="261"/>
      <c r="E22" s="131">
        <f t="shared" si="0"/>
        <v>0</v>
      </c>
      <c r="F22" s="215">
        <f>IF(E22&gt;=Exploitation!B$2,B22/D22,0)</f>
        <v>0</v>
      </c>
      <c r="I22" s="261"/>
      <c r="J22" s="261"/>
      <c r="K22" s="261"/>
      <c r="L22" s="261"/>
      <c r="M22" s="131">
        <f t="shared" si="1"/>
        <v>0</v>
      </c>
      <c r="N22" s="215">
        <f>IF(M22&gt;=Exploitation!B$2,J22/L22,0)</f>
        <v>0</v>
      </c>
    </row>
    <row r="23" spans="1:14" ht="18" customHeight="1" x14ac:dyDescent="0.5">
      <c r="A23" s="261"/>
      <c r="B23" s="262"/>
      <c r="C23" s="261"/>
      <c r="D23" s="261"/>
      <c r="E23" s="131">
        <f t="shared" si="0"/>
        <v>0</v>
      </c>
      <c r="F23" s="215">
        <f>IF(E23&gt;=Exploitation!B$2,B23/D23,0)</f>
        <v>0</v>
      </c>
      <c r="I23" s="261"/>
      <c r="J23" s="261"/>
      <c r="K23" s="261"/>
      <c r="L23" s="261"/>
      <c r="M23" s="131">
        <f t="shared" si="1"/>
        <v>0</v>
      </c>
      <c r="N23" s="215">
        <f>IF(M23&gt;=Exploitation!B$2,J23/L23,0)</f>
        <v>0</v>
      </c>
    </row>
    <row r="24" spans="1:14" ht="18" customHeight="1" x14ac:dyDescent="0.5">
      <c r="A24" s="261"/>
      <c r="B24" s="262"/>
      <c r="C24" s="261"/>
      <c r="D24" s="261"/>
      <c r="E24" s="131">
        <f t="shared" si="0"/>
        <v>0</v>
      </c>
      <c r="F24" s="215">
        <f>IF(E24&gt;=Exploitation!B$2,B24/D24,0)</f>
        <v>0</v>
      </c>
      <c r="I24" s="261"/>
      <c r="J24" s="261"/>
      <c r="K24" s="261"/>
      <c r="L24" s="261"/>
      <c r="M24" s="131">
        <f t="shared" si="1"/>
        <v>0</v>
      </c>
      <c r="N24" s="215">
        <f>IF(M24&gt;=Exploitation!B$2,J24/L24,0)</f>
        <v>0</v>
      </c>
    </row>
    <row r="25" spans="1:14" ht="18" customHeight="1" x14ac:dyDescent="0.5">
      <c r="A25" s="261"/>
      <c r="B25" s="262"/>
      <c r="C25" s="261"/>
      <c r="D25" s="261"/>
      <c r="E25" s="131">
        <f t="shared" si="0"/>
        <v>0</v>
      </c>
      <c r="F25" s="215">
        <f>IF(E25&gt;=Exploitation!B$2,B25/D25,0)</f>
        <v>0</v>
      </c>
      <c r="I25" s="261"/>
      <c r="J25" s="261"/>
      <c r="K25" s="261"/>
      <c r="L25" s="261"/>
      <c r="M25" s="131">
        <f t="shared" si="1"/>
        <v>0</v>
      </c>
      <c r="N25" s="215">
        <f>IF(M25&gt;=Exploitation!B$2,J25/L25,0)</f>
        <v>0</v>
      </c>
    </row>
    <row r="26" spans="1:14" ht="18" customHeight="1" x14ac:dyDescent="0.5">
      <c r="A26" s="754" t="s">
        <v>66</v>
      </c>
      <c r="B26" s="754"/>
      <c r="C26" s="754"/>
      <c r="D26" s="754"/>
      <c r="E26" s="754"/>
      <c r="F26" s="214">
        <f>SUM(F4:F25)</f>
        <v>0</v>
      </c>
      <c r="I26" s="754" t="s">
        <v>66</v>
      </c>
      <c r="J26" s="754"/>
      <c r="K26" s="754"/>
      <c r="L26" s="754"/>
      <c r="M26" s="754"/>
      <c r="N26" s="216">
        <f>SUM(N4:N25)</f>
        <v>0</v>
      </c>
    </row>
  </sheetData>
  <mergeCells count="14">
    <mergeCell ref="N2:N3"/>
    <mergeCell ref="A26:E26"/>
    <mergeCell ref="I26:M26"/>
    <mergeCell ref="A2:A3"/>
    <mergeCell ref="B2:B3"/>
    <mergeCell ref="C2:C3"/>
    <mergeCell ref="D2:D3"/>
    <mergeCell ref="E2:E3"/>
    <mergeCell ref="F2:F3"/>
    <mergeCell ref="I2:I3"/>
    <mergeCell ref="J2:J3"/>
    <mergeCell ref="K2:K3"/>
    <mergeCell ref="L2:L3"/>
    <mergeCell ref="M2:M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sheetPr>
  <dimension ref="A1:J27"/>
  <sheetViews>
    <sheetView showGridLines="0" zoomScale="110" zoomScaleNormal="110" workbookViewId="0">
      <selection activeCell="F13" sqref="F13"/>
    </sheetView>
  </sheetViews>
  <sheetFormatPr baseColWidth="10" defaultColWidth="11" defaultRowHeight="18" x14ac:dyDescent="0.5"/>
  <cols>
    <col min="1" max="1" width="20.21875" customWidth="1"/>
    <col min="7" max="7" width="17.44140625" customWidth="1"/>
  </cols>
  <sheetData>
    <row r="1" spans="1:10" ht="15" customHeight="1" thickBot="1" x14ac:dyDescent="0.55000000000000004"/>
    <row r="2" spans="1:10" ht="18.600000000000001" thickBot="1" x14ac:dyDescent="0.55000000000000004">
      <c r="A2" s="567" t="s">
        <v>305</v>
      </c>
      <c r="B2" s="568" t="s">
        <v>113</v>
      </c>
      <c r="C2" s="574" t="s">
        <v>306</v>
      </c>
      <c r="D2" s="21" t="s">
        <v>307</v>
      </c>
      <c r="F2" s="756" t="s">
        <v>308</v>
      </c>
      <c r="G2" s="757"/>
      <c r="H2" s="383" t="s">
        <v>113</v>
      </c>
      <c r="I2" s="383" t="s">
        <v>306</v>
      </c>
      <c r="J2" s="22" t="s">
        <v>307</v>
      </c>
    </row>
    <row r="3" spans="1:10" ht="18.600000000000001" thickBot="1" x14ac:dyDescent="0.55000000000000004">
      <c r="A3" s="76" t="s">
        <v>309</v>
      </c>
      <c r="B3" s="217"/>
      <c r="C3" s="575" t="e">
        <f>D3/B3</f>
        <v>#DIV/0!</v>
      </c>
      <c r="D3" s="572"/>
      <c r="E3" s="56"/>
      <c r="F3" s="384" t="s">
        <v>310</v>
      </c>
      <c r="G3" s="385"/>
      <c r="H3" s="576"/>
      <c r="I3" s="84" t="e">
        <f>J3/H3</f>
        <v>#DIV/0!</v>
      </c>
      <c r="J3" s="578"/>
    </row>
    <row r="4" spans="1:10" ht="18.600000000000001" thickBot="1" x14ac:dyDescent="0.55000000000000004">
      <c r="A4" s="76" t="s">
        <v>311</v>
      </c>
      <c r="B4" s="217"/>
      <c r="C4" s="575" t="e">
        <f t="shared" ref="C4:C5" si="0">D4/B4</f>
        <v>#DIV/0!</v>
      </c>
      <c r="D4" s="573"/>
      <c r="F4" s="758" t="s">
        <v>312</v>
      </c>
      <c r="G4" s="759"/>
      <c r="H4" s="577"/>
      <c r="I4" s="108" t="e">
        <f>J4/H4</f>
        <v>#DIV/0!</v>
      </c>
      <c r="J4" s="579"/>
    </row>
    <row r="5" spans="1:10" x14ac:dyDescent="0.5">
      <c r="A5" s="76" t="s">
        <v>313</v>
      </c>
      <c r="B5" s="217"/>
      <c r="C5" s="575" t="e">
        <f t="shared" si="0"/>
        <v>#DIV/0!</v>
      </c>
      <c r="D5" s="573"/>
    </row>
    <row r="6" spans="1:10" x14ac:dyDescent="0.5">
      <c r="A6" s="761" t="s">
        <v>314</v>
      </c>
      <c r="B6" s="762"/>
      <c r="C6" s="763"/>
      <c r="D6" s="573"/>
    </row>
    <row r="7" spans="1:10" x14ac:dyDescent="0.5">
      <c r="A7" s="761" t="s">
        <v>155</v>
      </c>
      <c r="B7" s="762"/>
      <c r="C7" s="763"/>
      <c r="D7" s="570">
        <f>SUM(D3:D6)</f>
        <v>0</v>
      </c>
    </row>
    <row r="8" spans="1:10" ht="18.600000000000001" thickBot="1" x14ac:dyDescent="0.55000000000000004"/>
    <row r="9" spans="1:10" ht="18.600000000000001" thickBot="1" x14ac:dyDescent="0.55000000000000004">
      <c r="A9" s="764" t="s">
        <v>315</v>
      </c>
      <c r="B9" s="765"/>
      <c r="C9" s="766"/>
      <c r="D9" s="569"/>
    </row>
    <row r="10" spans="1:10" ht="18.600000000000001" thickBot="1" x14ac:dyDescent="0.55000000000000004"/>
    <row r="11" spans="1:10" ht="18.600000000000001" thickBot="1" x14ac:dyDescent="0.55000000000000004">
      <c r="A11" s="767" t="s">
        <v>316</v>
      </c>
      <c r="B11" s="768"/>
      <c r="C11" s="769"/>
      <c r="D11" s="571"/>
    </row>
    <row r="12" spans="1:10" ht="18.600000000000001" thickBot="1" x14ac:dyDescent="0.55000000000000004">
      <c r="H12" s="19"/>
    </row>
    <row r="13" spans="1:10" ht="18.600000000000001" thickBot="1" x14ac:dyDescent="0.55000000000000004">
      <c r="A13" s="770" t="s">
        <v>317</v>
      </c>
      <c r="B13" s="771"/>
      <c r="C13" s="772"/>
      <c r="D13" s="571"/>
    </row>
    <row r="14" spans="1:10" ht="18.600000000000001" thickBot="1" x14ac:dyDescent="0.55000000000000004">
      <c r="A14" s="760"/>
      <c r="B14" s="760"/>
      <c r="C14" s="760"/>
      <c r="D14" s="760"/>
    </row>
    <row r="15" spans="1:10" ht="18.600000000000001" thickBot="1" x14ac:dyDescent="0.55000000000000004">
      <c r="A15" s="692" t="s">
        <v>231</v>
      </c>
      <c r="B15" s="773"/>
      <c r="C15" s="774"/>
      <c r="D15" s="571"/>
    </row>
    <row r="18" spans="1:5" x14ac:dyDescent="0.5">
      <c r="E18" s="1"/>
    </row>
    <row r="27" spans="1:5" x14ac:dyDescent="0.5">
      <c r="A27" s="760"/>
      <c r="B27" s="760"/>
      <c r="C27" s="760"/>
      <c r="D27" s="760"/>
    </row>
  </sheetData>
  <mergeCells count="10">
    <mergeCell ref="F2:G2"/>
    <mergeCell ref="F4:G4"/>
    <mergeCell ref="A14:D14"/>
    <mergeCell ref="A27:D27"/>
    <mergeCell ref="A6:C6"/>
    <mergeCell ref="A7:C7"/>
    <mergeCell ref="A9:C9"/>
    <mergeCell ref="A11:C11"/>
    <mergeCell ref="A13:C13"/>
    <mergeCell ref="A15:C1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E7"/>
  <sheetViews>
    <sheetView zoomScale="70" zoomScaleNormal="70" workbookViewId="0">
      <selection activeCell="GW1" sqref="A1:HE1"/>
    </sheetView>
  </sheetViews>
  <sheetFormatPr baseColWidth="10" defaultColWidth="11" defaultRowHeight="18" x14ac:dyDescent="0.5"/>
  <cols>
    <col min="1" max="152" width="13.21875" style="61" customWidth="1"/>
    <col min="153" max="192" width="13.21875" customWidth="1"/>
  </cols>
  <sheetData>
    <row r="1" spans="1:213" ht="18.600000000000001" thickBot="1" x14ac:dyDescent="0.55000000000000004">
      <c r="A1" s="282" t="s">
        <v>318</v>
      </c>
      <c r="B1" s="784" t="s">
        <v>319</v>
      </c>
      <c r="C1" s="785"/>
      <c r="D1" s="785"/>
      <c r="E1" s="785"/>
      <c r="F1" s="785"/>
      <c r="G1" s="785"/>
      <c r="H1" s="785"/>
      <c r="I1" s="785"/>
      <c r="J1" s="785"/>
      <c r="K1" s="785"/>
      <c r="L1" s="785"/>
      <c r="M1" s="785"/>
      <c r="N1" s="785"/>
      <c r="O1" s="785"/>
      <c r="P1" s="785"/>
      <c r="Q1" s="785"/>
      <c r="R1" s="785"/>
      <c r="S1" s="785"/>
      <c r="T1" s="785"/>
      <c r="U1" s="785"/>
      <c r="V1" s="785"/>
      <c r="W1" s="786"/>
      <c r="X1" s="787" t="s">
        <v>320</v>
      </c>
      <c r="Y1" s="788"/>
      <c r="Z1" s="788"/>
      <c r="AA1" s="788"/>
      <c r="AB1" s="788"/>
      <c r="AC1" s="788"/>
      <c r="AD1" s="788"/>
      <c r="AE1" s="788"/>
      <c r="AF1" s="789"/>
      <c r="AG1" s="790" t="s">
        <v>321</v>
      </c>
      <c r="AH1" s="790"/>
      <c r="AI1" s="790"/>
      <c r="AJ1" s="790"/>
      <c r="AK1" s="790"/>
      <c r="AL1" s="790"/>
      <c r="AM1" s="790"/>
      <c r="AN1" s="790"/>
      <c r="AO1" s="790"/>
      <c r="AP1" s="791"/>
      <c r="AQ1" s="792" t="s">
        <v>322</v>
      </c>
      <c r="AR1" s="792"/>
      <c r="AS1" s="792"/>
      <c r="AT1" s="792"/>
      <c r="AU1" s="792"/>
      <c r="AV1" s="792"/>
      <c r="AW1" s="792"/>
      <c r="AX1" s="792"/>
      <c r="AY1" s="792"/>
      <c r="AZ1" s="792"/>
      <c r="BA1" s="792"/>
      <c r="BB1" s="792"/>
      <c r="BC1" s="792"/>
      <c r="BD1" s="792"/>
      <c r="BE1" s="792"/>
      <c r="BF1" s="792"/>
      <c r="BG1" s="792"/>
      <c r="BH1" s="792"/>
      <c r="BI1" s="778" t="s">
        <v>323</v>
      </c>
      <c r="BJ1" s="779"/>
      <c r="BK1" s="779"/>
      <c r="BL1" s="779"/>
      <c r="BM1" s="779"/>
      <c r="BN1" s="779"/>
      <c r="BO1" s="779"/>
      <c r="BP1" s="779"/>
      <c r="BQ1" s="779"/>
      <c r="BR1" s="780"/>
      <c r="BS1" s="776" t="s">
        <v>324</v>
      </c>
      <c r="BT1" s="776"/>
      <c r="BU1" s="776"/>
      <c r="BV1" s="776"/>
      <c r="BW1" s="776"/>
      <c r="BX1" s="776"/>
      <c r="BY1" s="776"/>
      <c r="BZ1" s="776"/>
      <c r="CA1" s="793" t="s">
        <v>325</v>
      </c>
      <c r="CB1" s="794"/>
      <c r="CC1" s="794"/>
      <c r="CD1" s="795"/>
      <c r="CE1" s="771" t="s">
        <v>326</v>
      </c>
      <c r="CF1" s="771"/>
      <c r="CG1" s="771"/>
      <c r="CH1" s="771"/>
      <c r="CI1" s="771"/>
      <c r="CJ1" s="771"/>
      <c r="CK1" s="771"/>
      <c r="CL1" s="771"/>
      <c r="CM1" s="771"/>
      <c r="CN1" s="771"/>
      <c r="CO1" s="771"/>
      <c r="CP1" s="771"/>
      <c r="CQ1" s="796" t="s">
        <v>327</v>
      </c>
      <c r="CR1" s="797"/>
      <c r="CS1" s="797"/>
      <c r="CT1" s="797"/>
      <c r="CU1" s="797"/>
      <c r="CV1" s="797"/>
      <c r="CW1" s="797"/>
      <c r="CX1" s="798"/>
      <c r="CY1" s="794" t="s">
        <v>328</v>
      </c>
      <c r="CZ1" s="794"/>
      <c r="DA1" s="794"/>
      <c r="DB1" s="794"/>
      <c r="DC1" s="794"/>
      <c r="DD1" s="794"/>
      <c r="DE1" s="794"/>
      <c r="DF1" s="794"/>
      <c r="DG1" s="799" t="s">
        <v>329</v>
      </c>
      <c r="DH1" s="800"/>
      <c r="DI1" s="800"/>
      <c r="DJ1" s="800"/>
      <c r="DK1" s="800"/>
      <c r="DL1" s="800"/>
      <c r="DM1" s="800"/>
      <c r="DN1" s="800"/>
      <c r="DO1" s="800"/>
      <c r="DP1" s="800"/>
      <c r="DQ1" s="800"/>
      <c r="DR1" s="800"/>
      <c r="DS1" s="800"/>
      <c r="DT1" s="800"/>
      <c r="DU1" s="800"/>
      <c r="DV1" s="800"/>
      <c r="DW1" s="800"/>
      <c r="DX1" s="800"/>
      <c r="DY1" s="800"/>
      <c r="DZ1" s="800"/>
      <c r="EA1" s="800"/>
      <c r="EB1" s="800"/>
      <c r="EC1" s="800"/>
      <c r="ED1" s="800"/>
      <c r="EE1" s="800"/>
      <c r="EF1" s="800"/>
      <c r="EG1" s="800"/>
      <c r="EH1" s="800"/>
      <c r="EI1" s="800"/>
      <c r="EJ1" s="800"/>
      <c r="EK1" s="800"/>
      <c r="EL1" s="800"/>
      <c r="EM1" s="800"/>
      <c r="EN1" s="800"/>
      <c r="EO1" s="800"/>
      <c r="EP1" s="800"/>
      <c r="EQ1" s="800"/>
      <c r="ER1" s="800"/>
      <c r="ES1" s="800"/>
      <c r="ET1" s="800"/>
      <c r="EU1" s="800"/>
      <c r="EV1" s="800"/>
      <c r="EW1" s="781" t="s">
        <v>330</v>
      </c>
      <c r="EX1" s="782"/>
      <c r="EY1" s="782"/>
      <c r="EZ1" s="782"/>
      <c r="FA1" s="782"/>
      <c r="FB1" s="782"/>
      <c r="FC1" s="782"/>
      <c r="FD1" s="782"/>
      <c r="FE1" s="782"/>
      <c r="FF1" s="782"/>
      <c r="FG1" s="782"/>
      <c r="FH1" s="782"/>
      <c r="FI1" s="782"/>
      <c r="FJ1" s="782"/>
      <c r="FK1" s="782"/>
      <c r="FL1" s="782"/>
      <c r="FM1" s="782"/>
      <c r="FN1" s="782"/>
      <c r="FO1" s="782"/>
      <c r="FP1" s="782"/>
      <c r="FQ1" s="782"/>
      <c r="FR1" s="782"/>
      <c r="FS1" s="782"/>
      <c r="FT1" s="782"/>
      <c r="FU1" s="782"/>
      <c r="FV1" s="782"/>
      <c r="FW1" s="782"/>
      <c r="FX1" s="782"/>
      <c r="FY1" s="782"/>
      <c r="FZ1" s="782"/>
      <c r="GA1" s="782"/>
      <c r="GB1" s="782"/>
      <c r="GC1" s="782"/>
      <c r="GD1" s="782"/>
      <c r="GE1" s="782"/>
      <c r="GF1" s="782"/>
      <c r="GG1" s="782"/>
      <c r="GH1" s="782"/>
      <c r="GI1" s="782"/>
      <c r="GJ1" s="782"/>
      <c r="GK1" s="782"/>
      <c r="GL1" s="783"/>
      <c r="GM1" s="778" t="s">
        <v>323</v>
      </c>
      <c r="GN1" s="779"/>
      <c r="GO1" s="779"/>
      <c r="GP1" s="779"/>
      <c r="GQ1" s="779"/>
      <c r="GR1" s="779"/>
      <c r="GS1" s="779"/>
      <c r="GT1" s="779"/>
      <c r="GU1" s="779"/>
      <c r="GV1" s="780"/>
      <c r="GW1" s="775" t="s">
        <v>324</v>
      </c>
      <c r="GX1" s="776"/>
      <c r="GY1" s="776"/>
      <c r="GZ1" s="776"/>
      <c r="HA1" s="776"/>
      <c r="HB1" s="776"/>
      <c r="HC1" s="776"/>
      <c r="HD1" s="776"/>
      <c r="HE1" s="777"/>
    </row>
    <row r="2" spans="1:213" s="221" customFormat="1" ht="51.75" customHeight="1" x14ac:dyDescent="0.5">
      <c r="A2" s="222" t="s">
        <v>2</v>
      </c>
      <c r="B2" s="223" t="s">
        <v>331</v>
      </c>
      <c r="C2" s="223" t="s">
        <v>332</v>
      </c>
      <c r="D2" s="223" t="s">
        <v>25</v>
      </c>
      <c r="E2" s="223" t="s">
        <v>45</v>
      </c>
      <c r="F2" s="223" t="s">
        <v>46</v>
      </c>
      <c r="G2" s="223" t="s">
        <v>47</v>
      </c>
      <c r="H2" s="223" t="s">
        <v>333</v>
      </c>
      <c r="I2" s="223" t="s">
        <v>33</v>
      </c>
      <c r="J2" s="223" t="s">
        <v>35</v>
      </c>
      <c r="K2" s="223" t="s">
        <v>36</v>
      </c>
      <c r="L2" s="223" t="s">
        <v>334</v>
      </c>
      <c r="M2" s="223" t="s">
        <v>40</v>
      </c>
      <c r="N2" s="223" t="s">
        <v>43</v>
      </c>
      <c r="O2" s="223" t="s">
        <v>30</v>
      </c>
      <c r="P2" s="223" t="s">
        <v>335</v>
      </c>
      <c r="Q2" s="223" t="s">
        <v>34</v>
      </c>
      <c r="R2" s="223" t="s">
        <v>37</v>
      </c>
      <c r="S2" s="223" t="s">
        <v>42</v>
      </c>
      <c r="T2" s="223" t="s">
        <v>50</v>
      </c>
      <c r="U2" s="223" t="s">
        <v>44</v>
      </c>
      <c r="V2" s="223" t="s">
        <v>336</v>
      </c>
      <c r="W2" s="224" t="s">
        <v>49</v>
      </c>
      <c r="X2" s="222" t="s">
        <v>68</v>
      </c>
      <c r="Y2" s="223" t="s">
        <v>337</v>
      </c>
      <c r="Z2" s="223" t="s">
        <v>338</v>
      </c>
      <c r="AA2" s="223" t="s">
        <v>339</v>
      </c>
      <c r="AB2" s="223" t="s">
        <v>340</v>
      </c>
      <c r="AC2" s="223" t="s">
        <v>341</v>
      </c>
      <c r="AD2" s="223" t="s">
        <v>342</v>
      </c>
      <c r="AE2" s="223" t="s">
        <v>343</v>
      </c>
      <c r="AF2" s="224" t="s">
        <v>344</v>
      </c>
      <c r="AG2" s="591" t="s">
        <v>345</v>
      </c>
      <c r="AH2" s="223" t="s">
        <v>346</v>
      </c>
      <c r="AI2" s="223" t="s">
        <v>347</v>
      </c>
      <c r="AJ2" s="223" t="s">
        <v>348</v>
      </c>
      <c r="AK2" s="223" t="s">
        <v>349</v>
      </c>
      <c r="AL2" s="223" t="s">
        <v>350</v>
      </c>
      <c r="AM2" s="223" t="s">
        <v>351</v>
      </c>
      <c r="AN2" s="223" t="s">
        <v>352</v>
      </c>
      <c r="AO2" s="223" t="s">
        <v>353</v>
      </c>
      <c r="AP2" s="224" t="s">
        <v>354</v>
      </c>
      <c r="AQ2" s="591" t="s">
        <v>355</v>
      </c>
      <c r="AR2" s="223" t="s">
        <v>356</v>
      </c>
      <c r="AS2" s="223" t="s">
        <v>357</v>
      </c>
      <c r="AT2" s="223" t="s">
        <v>358</v>
      </c>
      <c r="AU2" s="223" t="s">
        <v>359</v>
      </c>
      <c r="AV2" s="223" t="s">
        <v>360</v>
      </c>
      <c r="AW2" s="223" t="s">
        <v>361</v>
      </c>
      <c r="AX2" s="223" t="s">
        <v>362</v>
      </c>
      <c r="AY2" s="223" t="s">
        <v>363</v>
      </c>
      <c r="AZ2" s="223" t="s">
        <v>364</v>
      </c>
      <c r="BA2" s="223" t="s">
        <v>365</v>
      </c>
      <c r="BB2" s="223" t="s">
        <v>366</v>
      </c>
      <c r="BC2" s="223" t="s">
        <v>367</v>
      </c>
      <c r="BD2" s="223" t="s">
        <v>368</v>
      </c>
      <c r="BE2" s="223" t="s">
        <v>369</v>
      </c>
      <c r="BF2" s="223" t="s">
        <v>370</v>
      </c>
      <c r="BG2" s="223" t="s">
        <v>371</v>
      </c>
      <c r="BH2" s="224" t="s">
        <v>372</v>
      </c>
      <c r="BI2" s="222" t="s">
        <v>373</v>
      </c>
      <c r="BJ2" s="223" t="s">
        <v>374</v>
      </c>
      <c r="BK2" s="223" t="s">
        <v>375</v>
      </c>
      <c r="BL2" s="223" t="s">
        <v>376</v>
      </c>
      <c r="BM2" s="223" t="s">
        <v>377</v>
      </c>
      <c r="BN2" s="223" t="s">
        <v>378</v>
      </c>
      <c r="BO2" s="223" t="s">
        <v>379</v>
      </c>
      <c r="BP2" s="223" t="s">
        <v>380</v>
      </c>
      <c r="BQ2" s="223" t="s">
        <v>381</v>
      </c>
      <c r="BR2" s="223" t="s">
        <v>382</v>
      </c>
      <c r="BS2" s="223" t="s">
        <v>383</v>
      </c>
      <c r="BT2" s="223" t="s">
        <v>384</v>
      </c>
      <c r="BU2" s="223" t="s">
        <v>173</v>
      </c>
      <c r="BV2" s="223" t="s">
        <v>241</v>
      </c>
      <c r="BW2" s="223" t="s">
        <v>385</v>
      </c>
      <c r="BX2" s="223" t="s">
        <v>186</v>
      </c>
      <c r="BY2" s="223" t="s">
        <v>386</v>
      </c>
      <c r="BZ2" s="223" t="s">
        <v>387</v>
      </c>
      <c r="CA2" s="223" t="s">
        <v>388</v>
      </c>
      <c r="CB2" s="224" t="s">
        <v>389</v>
      </c>
      <c r="CC2" s="225" t="s">
        <v>390</v>
      </c>
      <c r="CD2" s="225" t="s">
        <v>391</v>
      </c>
      <c r="CE2" s="222" t="s">
        <v>255</v>
      </c>
      <c r="CF2" s="223" t="s">
        <v>259</v>
      </c>
      <c r="CG2" s="223" t="s">
        <v>268</v>
      </c>
      <c r="CH2" s="223" t="s">
        <v>271</v>
      </c>
      <c r="CI2" s="223" t="s">
        <v>392</v>
      </c>
      <c r="CJ2" s="223" t="s">
        <v>393</v>
      </c>
      <c r="CK2" s="223" t="s">
        <v>394</v>
      </c>
      <c r="CL2" s="223" t="s">
        <v>395</v>
      </c>
      <c r="CM2" s="223" t="s">
        <v>396</v>
      </c>
      <c r="CN2" s="223" t="s">
        <v>397</v>
      </c>
      <c r="CO2" s="223" t="s">
        <v>398</v>
      </c>
      <c r="CP2" s="224" t="s">
        <v>399</v>
      </c>
      <c r="CQ2" s="222" t="s">
        <v>400</v>
      </c>
      <c r="CR2" s="223" t="s">
        <v>311</v>
      </c>
      <c r="CS2" s="223" t="s">
        <v>313</v>
      </c>
      <c r="CT2" s="223" t="s">
        <v>401</v>
      </c>
      <c r="CU2" s="223" t="s">
        <v>315</v>
      </c>
      <c r="CV2" s="223" t="s">
        <v>402</v>
      </c>
      <c r="CW2" s="223" t="s">
        <v>316</v>
      </c>
      <c r="CX2" s="224" t="s">
        <v>403</v>
      </c>
      <c r="CY2" s="222" t="s">
        <v>404</v>
      </c>
      <c r="CZ2" s="223" t="s">
        <v>405</v>
      </c>
      <c r="DA2" s="223" t="s">
        <v>406</v>
      </c>
      <c r="DB2" s="223" t="s">
        <v>407</v>
      </c>
      <c r="DC2" s="223" t="s">
        <v>408</v>
      </c>
      <c r="DD2" s="223" t="s">
        <v>409</v>
      </c>
      <c r="DE2" s="223" t="s">
        <v>410</v>
      </c>
      <c r="DF2" s="224" t="s">
        <v>411</v>
      </c>
      <c r="DG2" s="222" t="s">
        <v>412</v>
      </c>
      <c r="DH2" s="223" t="s">
        <v>413</v>
      </c>
      <c r="DI2" s="223" t="s">
        <v>414</v>
      </c>
      <c r="DJ2" s="223" t="s">
        <v>415</v>
      </c>
      <c r="DK2" s="223" t="s">
        <v>416</v>
      </c>
      <c r="DL2" s="223" t="s">
        <v>417</v>
      </c>
      <c r="DM2" s="223" t="s">
        <v>418</v>
      </c>
      <c r="DN2" s="223" t="s">
        <v>419</v>
      </c>
      <c r="DO2" s="223" t="s">
        <v>420</v>
      </c>
      <c r="DP2" s="223" t="s">
        <v>421</v>
      </c>
      <c r="DQ2" s="223" t="s">
        <v>422</v>
      </c>
      <c r="DR2" s="222" t="s">
        <v>423</v>
      </c>
      <c r="DS2" s="223" t="s">
        <v>424</v>
      </c>
      <c r="DT2" s="223" t="s">
        <v>425</v>
      </c>
      <c r="DU2" s="223" t="s">
        <v>426</v>
      </c>
      <c r="DV2" s="223" t="s">
        <v>427</v>
      </c>
      <c r="DW2" s="222" t="s">
        <v>428</v>
      </c>
      <c r="DX2" s="223" t="s">
        <v>429</v>
      </c>
      <c r="DY2" s="223" t="s">
        <v>430</v>
      </c>
      <c r="DZ2" s="223" t="s">
        <v>431</v>
      </c>
      <c r="EA2" s="223" t="s">
        <v>432</v>
      </c>
      <c r="EB2" s="223" t="s">
        <v>433</v>
      </c>
      <c r="EC2" s="223" t="s">
        <v>434</v>
      </c>
      <c r="ED2" s="223" t="s">
        <v>435</v>
      </c>
      <c r="EE2" s="223" t="s">
        <v>436</v>
      </c>
      <c r="EF2" s="222" t="s">
        <v>437</v>
      </c>
      <c r="EG2" s="223" t="s">
        <v>438</v>
      </c>
      <c r="EH2" s="223" t="s">
        <v>439</v>
      </c>
      <c r="EI2" s="223" t="s">
        <v>440</v>
      </c>
      <c r="EJ2" s="223" t="s">
        <v>441</v>
      </c>
      <c r="EK2" s="223" t="s">
        <v>442</v>
      </c>
      <c r="EL2" s="223" t="s">
        <v>443</v>
      </c>
      <c r="EM2" s="223" t="s">
        <v>444</v>
      </c>
      <c r="EN2" s="223" t="s">
        <v>445</v>
      </c>
      <c r="EO2" s="591" t="s">
        <v>446</v>
      </c>
      <c r="EP2" s="222" t="s">
        <v>447</v>
      </c>
      <c r="EQ2" s="223" t="s">
        <v>448</v>
      </c>
      <c r="ER2" s="223" t="s">
        <v>449</v>
      </c>
      <c r="ES2" s="223" t="s">
        <v>450</v>
      </c>
      <c r="ET2" s="223" t="s">
        <v>451</v>
      </c>
      <c r="EU2" s="223" t="s">
        <v>452</v>
      </c>
      <c r="EV2" s="223" t="s">
        <v>453</v>
      </c>
      <c r="EW2" s="223" t="s">
        <v>454</v>
      </c>
      <c r="EX2" s="223" t="s">
        <v>455</v>
      </c>
      <c r="EY2" s="223" t="s">
        <v>456</v>
      </c>
      <c r="EZ2" s="223" t="s">
        <v>457</v>
      </c>
      <c r="FA2" s="223" t="s">
        <v>458</v>
      </c>
      <c r="FB2" s="223" t="s">
        <v>459</v>
      </c>
      <c r="FC2" s="223" t="s">
        <v>460</v>
      </c>
      <c r="FD2" s="223" t="s">
        <v>461</v>
      </c>
      <c r="FE2" s="223" t="s">
        <v>462</v>
      </c>
      <c r="FF2" s="223" t="s">
        <v>463</v>
      </c>
      <c r="FG2" s="223" t="s">
        <v>464</v>
      </c>
      <c r="FH2" s="223" t="s">
        <v>465</v>
      </c>
      <c r="FI2" s="223" t="s">
        <v>466</v>
      </c>
      <c r="FJ2" s="223" t="s">
        <v>467</v>
      </c>
      <c r="FK2" s="223" t="s">
        <v>468</v>
      </c>
      <c r="FL2" s="223" t="s">
        <v>397</v>
      </c>
      <c r="FM2" s="223" t="s">
        <v>469</v>
      </c>
      <c r="FN2" s="223" t="s">
        <v>470</v>
      </c>
      <c r="FO2" s="223" t="s">
        <v>471</v>
      </c>
      <c r="FP2" s="223" t="s">
        <v>472</v>
      </c>
      <c r="FQ2" s="223" t="s">
        <v>473</v>
      </c>
      <c r="FR2" s="223" t="s">
        <v>474</v>
      </c>
      <c r="FS2" s="223" t="s">
        <v>278</v>
      </c>
      <c r="FT2" s="223" t="s">
        <v>475</v>
      </c>
      <c r="FU2" s="223" t="s">
        <v>281</v>
      </c>
      <c r="FV2" s="223" t="s">
        <v>476</v>
      </c>
      <c r="FW2" s="223" t="s">
        <v>477</v>
      </c>
      <c r="FX2" s="223" t="s">
        <v>478</v>
      </c>
      <c r="FY2" s="223" t="s">
        <v>479</v>
      </c>
      <c r="FZ2" s="223" t="s">
        <v>480</v>
      </c>
      <c r="GA2" s="223" t="s">
        <v>481</v>
      </c>
      <c r="GB2" s="223" t="s">
        <v>482</v>
      </c>
      <c r="GC2" s="223" t="s">
        <v>483</v>
      </c>
      <c r="GD2" s="223" t="s">
        <v>484</v>
      </c>
      <c r="GE2" s="223" t="s">
        <v>485</v>
      </c>
      <c r="GF2" s="223" t="s">
        <v>486</v>
      </c>
      <c r="GG2" s="223" t="s">
        <v>487</v>
      </c>
      <c r="GH2" s="223" t="s">
        <v>488</v>
      </c>
      <c r="GI2" s="223" t="s">
        <v>489</v>
      </c>
      <c r="GJ2" s="223" t="s">
        <v>490</v>
      </c>
      <c r="GK2" s="223" t="s">
        <v>491</v>
      </c>
      <c r="GL2" s="223" t="s">
        <v>492</v>
      </c>
      <c r="GM2" s="599" t="s">
        <v>493</v>
      </c>
      <c r="GN2" s="599" t="s">
        <v>494</v>
      </c>
      <c r="GO2" s="599" t="s">
        <v>495</v>
      </c>
      <c r="GP2" s="599" t="s">
        <v>496</v>
      </c>
      <c r="GQ2" s="599" t="s">
        <v>497</v>
      </c>
      <c r="GR2" s="599" t="s">
        <v>498</v>
      </c>
      <c r="GS2" s="599" t="s">
        <v>499</v>
      </c>
      <c r="GT2" s="599" t="s">
        <v>500</v>
      </c>
      <c r="GU2" s="599" t="s">
        <v>501</v>
      </c>
      <c r="GV2" s="599" t="s">
        <v>502</v>
      </c>
      <c r="GW2" s="599" t="s">
        <v>503</v>
      </c>
      <c r="GX2" s="599" t="s">
        <v>504</v>
      </c>
      <c r="GY2" s="599" t="s">
        <v>505</v>
      </c>
      <c r="GZ2" s="599" t="s">
        <v>506</v>
      </c>
      <c r="HA2" s="599" t="s">
        <v>507</v>
      </c>
      <c r="HB2" s="599" t="s">
        <v>508</v>
      </c>
      <c r="HC2" s="599" t="s">
        <v>509</v>
      </c>
      <c r="HD2" s="599" t="s">
        <v>510</v>
      </c>
      <c r="HE2" s="599" t="s">
        <v>511</v>
      </c>
    </row>
    <row r="3" spans="1:213" ht="87" customHeight="1" x14ac:dyDescent="0.5">
      <c r="A3" s="2" t="str">
        <f>'Bilan complet'!J14</f>
        <v>2023</v>
      </c>
      <c r="B3" s="2">
        <f>Exploitation!B3</f>
        <v>0</v>
      </c>
      <c r="C3" s="2">
        <f>Exploitation!B12</f>
        <v>0</v>
      </c>
      <c r="D3" s="351">
        <f>Exploitation!B13</f>
        <v>0</v>
      </c>
      <c r="E3" s="351">
        <f>Exploitation!B29</f>
        <v>0</v>
      </c>
      <c r="F3" s="351">
        <f>Exploitation!B30</f>
        <v>0</v>
      </c>
      <c r="G3" s="351">
        <f>Exploitation!B31</f>
        <v>0</v>
      </c>
      <c r="H3" s="246" t="e">
        <f>'Bilan complet'!FY15</f>
        <v>#DIV/0!</v>
      </c>
      <c r="I3" s="353">
        <f>Exploitation!B17</f>
        <v>0</v>
      </c>
      <c r="J3" s="353">
        <f>Exploitation!B19</f>
        <v>0</v>
      </c>
      <c r="K3" s="353">
        <f>Exploitation!B21</f>
        <v>0</v>
      </c>
      <c r="L3" s="353">
        <f>Exploitation!B16</f>
        <v>0</v>
      </c>
      <c r="M3" s="351">
        <f>Exploitation!B26</f>
        <v>0</v>
      </c>
      <c r="N3" s="351">
        <f>Exploitation!B28</f>
        <v>0</v>
      </c>
      <c r="O3" s="81">
        <f>Exploitation!E16</f>
        <v>0</v>
      </c>
      <c r="P3" s="81">
        <f>'Bilan complet'!G25</f>
        <v>0</v>
      </c>
      <c r="Q3" s="81">
        <f>Exploitation!E17</f>
        <v>0</v>
      </c>
      <c r="R3" s="81">
        <f>Exploitation!E22</f>
        <v>0</v>
      </c>
      <c r="S3" s="81">
        <f>Exploitation!E27</f>
        <v>0</v>
      </c>
      <c r="T3" s="81">
        <f>Exploitation!E34</f>
        <v>0</v>
      </c>
      <c r="U3" s="81">
        <f>Exploitation!E28</f>
        <v>0</v>
      </c>
      <c r="V3" s="81">
        <f>Exploitation!E33</f>
        <v>0</v>
      </c>
      <c r="W3" s="351">
        <f>Exploitation!B34</f>
        <v>0</v>
      </c>
      <c r="X3" s="81">
        <f>' Elevage'!P3</f>
        <v>0</v>
      </c>
      <c r="Y3" s="246" t="e">
        <f>(' Elevage'!O3-' Elevage'!C3)/' Elevage'!C3</f>
        <v>#DIV/0!</v>
      </c>
      <c r="Z3" s="246" t="str">
        <f>'Bilan complet'!AV14</f>
        <v/>
      </c>
      <c r="AA3" s="246" t="e">
        <f>'Bilan complet'!AU16/'Bilan complet'!AU7</f>
        <v>#DIV/0!</v>
      </c>
      <c r="AB3" s="246" t="str">
        <f>'Bilan complet'!HC11</f>
        <v/>
      </c>
      <c r="AC3" s="81">
        <f>(' Elevage'!P12+' Elevage'!U12)/2</f>
        <v>0</v>
      </c>
      <c r="AD3" s="246" t="e">
        <f>('Bilan complet'!AM25-'Bilan complet'!AH25)/'Bilan complet'!AH25</f>
        <v>#DIV/0!</v>
      </c>
      <c r="AE3" s="246" t="e">
        <f>'Bilan complet'!AL25/'Bilan complet'!AH25</f>
        <v>#DIV/0!</v>
      </c>
      <c r="AF3" s="81" t="e">
        <f>X3/AC3</f>
        <v>#DIV/0!</v>
      </c>
      <c r="AG3" s="246" t="str">
        <f>'Bilan complet'!AS49</f>
        <v/>
      </c>
      <c r="AH3" s="246" t="str">
        <f>'Bilan complet'!AT49</f>
        <v/>
      </c>
      <c r="AI3" s="246" t="str">
        <f>'Bilan complet'!AU49</f>
        <v/>
      </c>
      <c r="AJ3" s="246" t="str">
        <f>'Bilan complet'!AV49</f>
        <v/>
      </c>
      <c r="AK3" s="81">
        <f>'Bilan complet'!AL49</f>
        <v>0</v>
      </c>
      <c r="AL3" s="81">
        <f>'Bilan complet'!AQ25</f>
        <v>0</v>
      </c>
      <c r="AM3" s="81">
        <f>'Bilan complet'!AO49+'Bilan complet'!AT25</f>
        <v>0</v>
      </c>
      <c r="AN3" s="81">
        <f>'Bilan complet'!AP49+'Bilan complet'!AS25</f>
        <v>0</v>
      </c>
      <c r="AO3" s="81">
        <f>'Bilan complet'!AQ49+'Bilan complet'!AR25</f>
        <v>0</v>
      </c>
      <c r="AP3" s="81">
        <f>'Bilan complet'!AV25+'Bilan complet'!AR49</f>
        <v>0</v>
      </c>
      <c r="AQ3" s="81">
        <f>'Bilan complet'!CO11</f>
        <v>0</v>
      </c>
      <c r="AR3" s="81">
        <f>'Bilan complet'!CO14</f>
        <v>0</v>
      </c>
      <c r="AS3" s="246" t="str">
        <f>'Stock et ration '!L3</f>
        <v/>
      </c>
      <c r="AT3" s="81">
        <f>'Bilan complet'!$CO$17</f>
        <v>0</v>
      </c>
      <c r="AU3" s="81">
        <f>'Bilan complet'!$CO$20</f>
        <v>0</v>
      </c>
      <c r="AV3" s="246" t="str">
        <f>'Stock et ration '!L5</f>
        <v/>
      </c>
      <c r="AW3" s="81" t="e">
        <f>'Bilan complet'!CJ32</f>
        <v>#DIV/0!</v>
      </c>
      <c r="AX3" s="81" t="e">
        <f>'Bilan complet'!CJ30</f>
        <v>#DIV/0!</v>
      </c>
      <c r="AY3" s="596" t="e">
        <f>'Bilan complet'!CL34</f>
        <v>#DIV/0!</v>
      </c>
      <c r="AZ3" s="596" t="e">
        <f>'Bilan complet'!CN34</f>
        <v>#DIV/0!</v>
      </c>
      <c r="BA3" s="81" t="e">
        <f>'Bilan complet'!CJ38</f>
        <v>#DIV/0!</v>
      </c>
      <c r="BB3" s="81" t="e">
        <f>'Bilan complet'!CJ36</f>
        <v>#DIV/0!</v>
      </c>
      <c r="BC3" s="353">
        <f>'Stock et ration '!C3</f>
        <v>0</v>
      </c>
      <c r="BD3" s="353" t="e">
        <f>'Stock et ration '!C3/(Exploitation!E17+Exploitation!E22+Exploitation!E27)</f>
        <v>#DIV/0!</v>
      </c>
      <c r="BE3" s="353">
        <f>'Stock et ration '!C5</f>
        <v>0</v>
      </c>
      <c r="BF3" s="353" t="e">
        <f>'Stock et ration '!C5/Exploitation!E28</f>
        <v>#DIV/0!</v>
      </c>
      <c r="BG3" s="353">
        <f>'Stock et ration '!C4</f>
        <v>0</v>
      </c>
      <c r="BH3" s="353" t="e">
        <f>'Stock et ration '!C4/Exploitation!E28</f>
        <v>#DIV/0!</v>
      </c>
      <c r="BI3" s="248">
        <f>'Bilan complet'!$DD$6</f>
        <v>0</v>
      </c>
      <c r="BJ3" s="248">
        <f>'Bilan complet'!$DD$11</f>
        <v>0</v>
      </c>
      <c r="BK3" s="248">
        <f>'Bilan complet'!$DD$13</f>
        <v>0</v>
      </c>
      <c r="BL3" s="248">
        <f>'Bilan complet'!$DD$17</f>
        <v>0</v>
      </c>
      <c r="BM3" s="248">
        <f>'Bilan complet'!$DD$19</f>
        <v>0</v>
      </c>
      <c r="BN3" s="248">
        <f>'Bilan complet'!$DD$31</f>
        <v>0</v>
      </c>
      <c r="BO3" s="248">
        <f>'Bilan complet'!DD33</f>
        <v>0</v>
      </c>
      <c r="BP3" s="248">
        <f>'Bilan complet'!DD34</f>
        <v>0</v>
      </c>
      <c r="BQ3" s="248">
        <f>'Bilan complet'!$DD$25</f>
        <v>0</v>
      </c>
      <c r="BR3" s="248">
        <f>'Bilan complet'!$DD$40</f>
        <v>0</v>
      </c>
      <c r="BS3" s="248">
        <f>'Bilan complet'!$DL$6</f>
        <v>0</v>
      </c>
      <c r="BT3" s="248">
        <f>'Bilan complet'!$DL$15</f>
        <v>0</v>
      </c>
      <c r="BU3" s="248">
        <f>'Bilan complet'!$DL$21</f>
        <v>0</v>
      </c>
      <c r="BV3" s="248">
        <f>'Bilan complet'!$DL$23</f>
        <v>0</v>
      </c>
      <c r="BW3" s="248">
        <f>'Bilan complet'!$DL$25</f>
        <v>0</v>
      </c>
      <c r="BX3" s="248">
        <f>'Bilan complet'!$DL$27</f>
        <v>0</v>
      </c>
      <c r="BY3" s="248">
        <f>'Bilan complet'!$DL$31</f>
        <v>0</v>
      </c>
      <c r="BZ3" s="248">
        <f>'Bilan complet'!$DL$40</f>
        <v>0</v>
      </c>
      <c r="CA3" s="248" t="e">
        <f>'Bilan complet'!$DK$46</f>
        <v>#DIV/0!</v>
      </c>
      <c r="CB3" s="248" t="e">
        <f>'Bilan complet'!$DK$48</f>
        <v>#DIV/0!</v>
      </c>
      <c r="CC3" s="248">
        <f>'Bilan complet'!FQ9</f>
        <v>0</v>
      </c>
      <c r="CD3" s="248">
        <f>'Bilan complet'!FQ14</f>
        <v>0</v>
      </c>
      <c r="CE3" s="248">
        <f>'Bilan complet'!EJ5</f>
        <v>0</v>
      </c>
      <c r="CF3" s="248">
        <f>'Bilan complet'!EJ10</f>
        <v>0</v>
      </c>
      <c r="CG3" s="248">
        <f>'Bilan complet'!EJ16</f>
        <v>0</v>
      </c>
      <c r="CH3" s="248">
        <f>'Bilan complet'!EJ20</f>
        <v>0</v>
      </c>
      <c r="CI3" s="248">
        <f>'Bilan complet'!EJ22</f>
        <v>0</v>
      </c>
      <c r="CJ3" s="248">
        <f>'Bilan complet'!EJ26</f>
        <v>0</v>
      </c>
      <c r="CK3" s="248">
        <f>'Bilan complet'!EJ31</f>
        <v>0</v>
      </c>
      <c r="CL3" s="248">
        <f>'Bilan complet'!EJ39</f>
        <v>0</v>
      </c>
      <c r="CM3" s="248">
        <f>'Bilan complet'!EJ42</f>
        <v>0</v>
      </c>
      <c r="CN3" s="248">
        <f>'Bilan complet'!EJ46</f>
        <v>0</v>
      </c>
      <c r="CO3" s="248">
        <f>'Bilan complet'!EJ47</f>
        <v>0</v>
      </c>
      <c r="CP3" s="248">
        <f>'Bilan complet'!EJ48</f>
        <v>0</v>
      </c>
      <c r="CQ3" s="248">
        <f>'Bilan complet'!FI34</f>
        <v>0</v>
      </c>
      <c r="CR3" s="248">
        <f>'Bilan complet'!FI38</f>
        <v>0</v>
      </c>
      <c r="CS3" s="248">
        <f>'Bilan complet'!FI40</f>
        <v>0</v>
      </c>
      <c r="CT3" s="248">
        <f>'Bilan complet'!FI42</f>
        <v>0</v>
      </c>
      <c r="CU3" s="248">
        <f>'Bilan complet'!FI44</f>
        <v>0</v>
      </c>
      <c r="CV3" s="248">
        <f>'Bilan complet'!FI46</f>
        <v>0</v>
      </c>
      <c r="CW3" s="248">
        <f>'Bilan complet'!FI48</f>
        <v>0</v>
      </c>
      <c r="CX3" s="248">
        <f>'Bilan complet'!FI50</f>
        <v>0</v>
      </c>
      <c r="CY3" s="248">
        <f>'Bilan complet'!FQ30</f>
        <v>0</v>
      </c>
      <c r="CZ3" s="248">
        <f>'Bilan complet'!FN36</f>
        <v>0</v>
      </c>
      <c r="DA3" s="248" t="e">
        <f>'Bilan complet'!FN41</f>
        <v>#DIV/0!</v>
      </c>
      <c r="DB3" s="248">
        <f>'Bilan complet'!FU47</f>
        <v>0</v>
      </c>
      <c r="DC3" s="248">
        <f>'Bilan complet'!FY9</f>
        <v>0</v>
      </c>
      <c r="DD3" s="246" t="str">
        <f>'Bilan complet'!FY18</f>
        <v/>
      </c>
      <c r="DE3" s="246" t="str">
        <f>'Bilan complet'!FY21</f>
        <v/>
      </c>
      <c r="DF3" s="246" t="str">
        <f>'Bilan complet'!FY24</f>
        <v/>
      </c>
      <c r="DG3" s="259" t="str">
        <f>'Bilan complet'!BD26</f>
        <v/>
      </c>
      <c r="DH3" s="259" t="str">
        <f>'Bilan complet'!BD30</f>
        <v/>
      </c>
      <c r="DI3" s="259" t="str">
        <f>'Bilan complet'!BD28</f>
        <v/>
      </c>
      <c r="DJ3" s="259" t="str">
        <f>'Bilan complet'!BD32</f>
        <v/>
      </c>
      <c r="DK3" s="259" t="str">
        <f>'Bilan complet'!BD34</f>
        <v/>
      </c>
      <c r="DL3" s="259" t="str">
        <f>'Bilan complet'!BD38</f>
        <v/>
      </c>
      <c r="DM3" s="259" t="str">
        <f>'Bilan complet'!BD36</f>
        <v/>
      </c>
      <c r="DN3" s="259" t="str">
        <f>'Bilan complet'!BD40</f>
        <v/>
      </c>
      <c r="DO3" s="259">
        <f>'Bilan complet'!BS44</f>
        <v>0</v>
      </c>
      <c r="DP3" s="259" t="e">
        <f>'Bilan complet'!BC43</f>
        <v>#DIV/0!</v>
      </c>
      <c r="DQ3" s="259" t="str">
        <f>'Bilan complet'!BD46</f>
        <v/>
      </c>
      <c r="DR3" s="259" t="str">
        <f>'Bilan complet'!BC26</f>
        <v/>
      </c>
      <c r="DS3" s="259" t="str">
        <f>'Bilan complet'!BC30</f>
        <v/>
      </c>
      <c r="DT3" s="259" t="str">
        <f>'Bilan complet'!BC28</f>
        <v/>
      </c>
      <c r="DU3" s="259">
        <f>'Bilan complet'!BR44</f>
        <v>0</v>
      </c>
      <c r="DV3" s="259" t="str">
        <f>'Bilan complet'!BC32</f>
        <v/>
      </c>
      <c r="DW3" s="246" t="e">
        <f>'Bilan complet'!BA26</f>
        <v>#DIV/0!</v>
      </c>
      <c r="DX3" s="246" t="e">
        <f>'Bilan complet'!BA30</f>
        <v>#DIV/0!</v>
      </c>
      <c r="DY3" s="246" t="e">
        <f>'Bilan complet'!BA28</f>
        <v>#DIV/0!</v>
      </c>
      <c r="DZ3" s="246" t="e">
        <f>'Bilan complet'!BA32</f>
        <v>#DIV/0!</v>
      </c>
      <c r="EA3" s="246" t="e">
        <f>'Bilan complet'!BA34</f>
        <v>#DIV/0!</v>
      </c>
      <c r="EB3" s="246" t="e">
        <f>'Bilan complet'!BA38</f>
        <v>#DIV/0!</v>
      </c>
      <c r="EC3" s="246" t="e">
        <f>'Bilan complet'!BA36</f>
        <v>#DIV/0!</v>
      </c>
      <c r="ED3" s="246" t="e">
        <f>'Bilan complet'!BA40</f>
        <v>#DIV/0!</v>
      </c>
      <c r="EE3" s="246" t="e">
        <f>DW3+DX3+DY3+DZ3</f>
        <v>#DIV/0!</v>
      </c>
      <c r="EF3" s="598">
        <f>'Bilan complet'!AZ26</f>
        <v>0</v>
      </c>
      <c r="EG3" s="2">
        <f>'Bilan complet'!AZ30</f>
        <v>0</v>
      </c>
      <c r="EH3" s="247">
        <f>'Bilan complet'!AZ28</f>
        <v>0</v>
      </c>
      <c r="EI3" s="598">
        <f>'Bilan complet'!AZ32</f>
        <v>0</v>
      </c>
      <c r="EJ3" s="2">
        <f>'Bilan complet'!AZ34</f>
        <v>0</v>
      </c>
      <c r="EK3" s="247">
        <f>'Bilan complet'!AZ38</f>
        <v>0</v>
      </c>
      <c r="EL3" s="598">
        <f>'Bilan complet'!AZ36</f>
        <v>0</v>
      </c>
      <c r="EM3" s="2">
        <f>'Bilan complet'!AZ40</f>
        <v>0</v>
      </c>
      <c r="EN3" s="2">
        <f>EF3+EG3+EH3+EI3</f>
        <v>0</v>
      </c>
      <c r="EO3" s="2">
        <f>'Bilan complet'!AZ46</f>
        <v>0</v>
      </c>
      <c r="EP3" s="2" t="str">
        <f>'Bilan complet'!BB26</f>
        <v/>
      </c>
      <c r="EQ3" s="2" t="str">
        <f>'Bilan complet'!BB30</f>
        <v/>
      </c>
      <c r="ER3" s="2" t="str">
        <f>'Bilan complet'!BB28</f>
        <v/>
      </c>
      <c r="ES3" s="2" t="str">
        <f>'Bilan complet'!BB32</f>
        <v/>
      </c>
      <c r="ET3" s="598">
        <f>'Bilan complet'!BQ44</f>
        <v>0</v>
      </c>
      <c r="EU3" s="246" t="e">
        <f>'Bilan complet'!BA21</f>
        <v>#DIV/0!</v>
      </c>
      <c r="EV3" s="248" t="e">
        <f>Calcule!R5/Calcule!P5</f>
        <v>#DIV/0!</v>
      </c>
      <c r="EW3" s="597" t="e">
        <f>'Coût de production'!F7</f>
        <v>#DIV/0!</v>
      </c>
      <c r="EX3" s="597" t="e">
        <f>'Coût de production'!F9</f>
        <v>#DIV/0!</v>
      </c>
      <c r="EY3" s="597" t="e">
        <f>'Coût de production'!F11</f>
        <v>#DIV/0!</v>
      </c>
      <c r="EZ3" s="597" t="e">
        <f>'Coût de production'!F12</f>
        <v>#DIV/0!</v>
      </c>
      <c r="FA3" s="597" t="e">
        <f>'Coût de production'!F13</f>
        <v>#DIV/0!</v>
      </c>
      <c r="FB3" s="597" t="e">
        <f>'Coût de production'!F15</f>
        <v>#DIV/0!</v>
      </c>
      <c r="FC3" s="597" t="e">
        <f>'Coût de production'!F16</f>
        <v>#DIV/0!</v>
      </c>
      <c r="FD3" s="597" t="e">
        <f>'Coût de production'!F17</f>
        <v>#DIV/0!</v>
      </c>
      <c r="FE3" s="597" t="e">
        <f>'Coût de production'!F18</f>
        <v>#DIV/0!</v>
      </c>
      <c r="FF3" s="597" t="e">
        <f>'Coût de production'!F21</f>
        <v>#DIV/0!</v>
      </c>
      <c r="FG3" s="597" t="e">
        <f>'Coût de production'!F22</f>
        <v>#DIV/0!</v>
      </c>
      <c r="FH3" s="597" t="e">
        <f>'Coût de production'!F23</f>
        <v>#N/A</v>
      </c>
      <c r="FI3" s="597" t="e">
        <f>'Coût de production'!F25</f>
        <v>#N/A</v>
      </c>
      <c r="FJ3" s="597" t="e">
        <f>'Coût de production'!F26</f>
        <v>#N/A</v>
      </c>
      <c r="FK3" s="597" t="e">
        <f>'Coût de production'!F27</f>
        <v>#DIV/0!</v>
      </c>
      <c r="FL3" s="597" t="e">
        <f>'Coût de production'!F28</f>
        <v>#N/A</v>
      </c>
      <c r="FM3" s="597" t="e">
        <f>'Coût de production'!F29</f>
        <v>#N/A</v>
      </c>
      <c r="FN3" s="597" t="e">
        <f>'Coût de production'!F31</f>
        <v>#N/A</v>
      </c>
      <c r="FO3" s="597" t="e">
        <f>'Coût de production'!F32</f>
        <v>#N/A</v>
      </c>
      <c r="FP3" s="597" t="e">
        <f>'Coût de production'!F33</f>
        <v>#N/A</v>
      </c>
      <c r="FQ3" s="597" t="e">
        <f>'Coût de production'!F34</f>
        <v>#N/A</v>
      </c>
      <c r="FR3" s="597" t="e">
        <f>'Coût de production'!F35</f>
        <v>#DIV/0!</v>
      </c>
      <c r="FS3" s="597" t="e">
        <f>'Coût de production'!F37</f>
        <v>#DIV/0!</v>
      </c>
      <c r="FT3" s="597" t="e">
        <f>'Coût de production'!F38</f>
        <v>#DIV/0!</v>
      </c>
      <c r="FU3" s="597" t="e">
        <f>'Coût de production'!F39</f>
        <v>#DIV/0!</v>
      </c>
      <c r="FV3" s="597" t="e">
        <f>'Coût de production'!F40</f>
        <v>#N/A</v>
      </c>
      <c r="FW3" s="597" t="e">
        <f>'Coût de production'!F42</f>
        <v>#N/A</v>
      </c>
      <c r="FX3" s="597" t="e">
        <f>'Coût de production'!F43</f>
        <v>#N/A</v>
      </c>
      <c r="FY3" s="597" t="e">
        <f>'Coût de production'!F45</f>
        <v>#N/A</v>
      </c>
      <c r="FZ3" s="597" t="e">
        <f>'Coût de production'!F46</f>
        <v>#N/A</v>
      </c>
      <c r="GA3" s="597" t="e">
        <f>'Coût de production'!F43</f>
        <v>#N/A</v>
      </c>
      <c r="GB3" s="597" t="e">
        <f>'Coût de production'!F49</f>
        <v>#DIV/0!</v>
      </c>
      <c r="GC3" s="597" t="e">
        <f>'Coût de production'!F50</f>
        <v>#DIV/0!</v>
      </c>
      <c r="GD3" s="597" t="e">
        <f>'Coût de production'!N7</f>
        <v>#DIV/0!</v>
      </c>
      <c r="GE3" s="597" t="e">
        <f>'Coût de production'!N9</f>
        <v>#DIV/0!</v>
      </c>
      <c r="GF3" s="597" t="e">
        <f>'Coût de production'!N11</f>
        <v>#DIV/0!</v>
      </c>
      <c r="GG3" s="597" t="e">
        <f>'Coût de production'!N13</f>
        <v>#DIV/0!</v>
      </c>
      <c r="GH3" s="597" t="e">
        <f>'Coût de production'!N17</f>
        <v>#N/A</v>
      </c>
      <c r="GI3" s="2">
        <f>Calcule!AU52</f>
        <v>0</v>
      </c>
      <c r="GJ3" s="2" t="e">
        <f>GI3/X3</f>
        <v>#DIV/0!</v>
      </c>
      <c r="GK3" s="597" t="e">
        <f>'Coût de production'!N20</f>
        <v>#DIV/0!</v>
      </c>
      <c r="GL3" s="2" t="e">
        <f>'Coût de production'!N23</f>
        <v>#DIV/0!</v>
      </c>
      <c r="GM3" s="2" t="e">
        <f>BI3/$X3</f>
        <v>#DIV/0!</v>
      </c>
      <c r="GN3" s="2" t="e">
        <f t="shared" ref="GN3:GU3" si="0">BJ3/$X3</f>
        <v>#DIV/0!</v>
      </c>
      <c r="GO3" s="2" t="e">
        <f t="shared" si="0"/>
        <v>#DIV/0!</v>
      </c>
      <c r="GP3" s="2" t="e">
        <f t="shared" si="0"/>
        <v>#DIV/0!</v>
      </c>
      <c r="GQ3" s="2" t="e">
        <f t="shared" si="0"/>
        <v>#DIV/0!</v>
      </c>
      <c r="GR3" s="2" t="e">
        <f t="shared" si="0"/>
        <v>#DIV/0!</v>
      </c>
      <c r="GS3" s="2" t="e">
        <f t="shared" si="0"/>
        <v>#DIV/0!</v>
      </c>
      <c r="GT3" s="2" t="e">
        <f t="shared" si="0"/>
        <v>#DIV/0!</v>
      </c>
      <c r="GU3" s="2" t="e">
        <f t="shared" si="0"/>
        <v>#DIV/0!</v>
      </c>
      <c r="GV3" s="2" t="e">
        <f>BR3/$X3</f>
        <v>#DIV/0!</v>
      </c>
      <c r="GW3" s="2" t="e">
        <f t="shared" ref="GW3:HD3" si="1">BS3/$X3</f>
        <v>#DIV/0!</v>
      </c>
      <c r="GX3" s="2" t="e">
        <f t="shared" si="1"/>
        <v>#DIV/0!</v>
      </c>
      <c r="GY3" s="2" t="e">
        <f t="shared" si="1"/>
        <v>#DIV/0!</v>
      </c>
      <c r="GZ3" s="2" t="e">
        <f t="shared" si="1"/>
        <v>#DIV/0!</v>
      </c>
      <c r="HA3" s="2" t="e">
        <f t="shared" si="1"/>
        <v>#DIV/0!</v>
      </c>
      <c r="HB3" s="2" t="e">
        <f t="shared" si="1"/>
        <v>#DIV/0!</v>
      </c>
      <c r="HC3" s="2" t="e">
        <f t="shared" si="1"/>
        <v>#DIV/0!</v>
      </c>
      <c r="HD3" s="2" t="e">
        <f t="shared" si="1"/>
        <v>#DIV/0!</v>
      </c>
      <c r="HE3" s="2" t="e">
        <f>GU3-GW3-HC3</f>
        <v>#DIV/0!</v>
      </c>
    </row>
    <row r="4" spans="1:213" ht="17.25" customHeight="1" x14ac:dyDescent="0.5"/>
    <row r="5" spans="1:213" ht="17.25" customHeight="1" x14ac:dyDescent="0.5">
      <c r="A5"/>
      <c r="B5"/>
      <c r="C5"/>
    </row>
    <row r="6" spans="1:213" x14ac:dyDescent="0.5">
      <c r="A6"/>
      <c r="B6"/>
      <c r="C6"/>
    </row>
    <row r="7" spans="1:213" x14ac:dyDescent="0.5">
      <c r="A7"/>
      <c r="B7"/>
      <c r="C7"/>
    </row>
  </sheetData>
  <mergeCells count="14">
    <mergeCell ref="GW1:HE1"/>
    <mergeCell ref="GM1:GV1"/>
    <mergeCell ref="EW1:GL1"/>
    <mergeCell ref="B1:W1"/>
    <mergeCell ref="X1:AF1"/>
    <mergeCell ref="AG1:AP1"/>
    <mergeCell ref="AQ1:BH1"/>
    <mergeCell ref="BI1:BR1"/>
    <mergeCell ref="BS1:BZ1"/>
    <mergeCell ref="CA1:CD1"/>
    <mergeCell ref="CE1:CP1"/>
    <mergeCell ref="CQ1:CX1"/>
    <mergeCell ref="CY1:DF1"/>
    <mergeCell ref="DG1:EV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C0099"/>
  </sheetPr>
  <dimension ref="A1:IK61"/>
  <sheetViews>
    <sheetView showGridLines="0" showRuler="0" view="pageLayout" topLeftCell="FG1" zoomScale="90" zoomScaleNormal="90" zoomScaleSheetLayoutView="90" zoomScalePageLayoutView="90" workbookViewId="0">
      <selection activeCell="FQ14" sqref="FQ14:FS16"/>
    </sheetView>
  </sheetViews>
  <sheetFormatPr baseColWidth="10" defaultColWidth="11.109375" defaultRowHeight="18" x14ac:dyDescent="0.5"/>
  <cols>
    <col min="1" max="11" width="8" customWidth="1"/>
    <col min="12" max="12" width="9.33203125" customWidth="1"/>
    <col min="13" max="13" width="8" customWidth="1"/>
    <col min="14" max="14" width="8.44140625" customWidth="1"/>
    <col min="15" max="17" width="8" customWidth="1"/>
    <col min="18" max="31" width="7.88671875" customWidth="1"/>
    <col min="32" max="32" width="10" customWidth="1"/>
    <col min="33" max="33" width="14.44140625" customWidth="1"/>
    <col min="34" max="44" width="7.88671875" customWidth="1"/>
    <col min="45" max="47" width="7.109375" customWidth="1"/>
    <col min="48" max="56" width="7.88671875" customWidth="1"/>
    <col min="57" max="57" width="10.44140625" customWidth="1"/>
    <col min="58" max="58" width="10.21875" customWidth="1"/>
    <col min="59" max="62" width="7.88671875" customWidth="1"/>
    <col min="63" max="102" width="6.88671875" customWidth="1"/>
    <col min="103" max="165" width="7.88671875" customWidth="1"/>
    <col min="166" max="166" width="8.33203125" customWidth="1"/>
    <col min="167" max="204" width="7.88671875" customWidth="1"/>
    <col min="205" max="213" width="9.44140625" customWidth="1"/>
    <col min="214" max="229" width="7.88671875" customWidth="1"/>
    <col min="230" max="244" width="7.77734375" customWidth="1"/>
  </cols>
  <sheetData>
    <row r="1" spans="6:245" ht="9.75" customHeight="1" x14ac:dyDescent="0.5">
      <c r="Q1" s="494"/>
      <c r="R1" s="494"/>
      <c r="S1" s="1455" t="s">
        <v>512</v>
      </c>
      <c r="T1" s="1455"/>
      <c r="U1" s="1455"/>
      <c r="V1" s="1455"/>
      <c r="W1" s="1455"/>
      <c r="X1" s="1455"/>
      <c r="Y1" s="1455"/>
      <c r="Z1" s="1455"/>
      <c r="AA1" s="1455"/>
      <c r="AB1" s="1455"/>
      <c r="AC1" s="1455"/>
      <c r="AD1" s="1455"/>
      <c r="AE1" s="1455"/>
      <c r="AF1" s="1455"/>
      <c r="AG1" s="134"/>
      <c r="AH1" s="1128" t="s">
        <v>513</v>
      </c>
      <c r="AI1" s="1128"/>
      <c r="AJ1" s="1128"/>
      <c r="AK1" s="1128"/>
      <c r="AL1" s="1128"/>
      <c r="AM1" s="1128"/>
      <c r="AN1" s="1128"/>
      <c r="AO1" s="1128"/>
      <c r="AP1" s="1128"/>
      <c r="AQ1" s="1128"/>
      <c r="AR1" s="1128"/>
      <c r="AS1" s="1128"/>
      <c r="AT1" s="1128"/>
      <c r="AU1" s="1128"/>
      <c r="AV1" s="1128"/>
      <c r="AW1" s="1135"/>
      <c r="AX1" s="1128" t="s">
        <v>514</v>
      </c>
      <c r="AY1" s="1128"/>
      <c r="AZ1" s="1128"/>
      <c r="BA1" s="1128"/>
      <c r="BB1" s="1128"/>
      <c r="BC1" s="1128"/>
      <c r="BD1" s="1128"/>
      <c r="BE1" s="1128"/>
      <c r="BF1" s="1128"/>
      <c r="BG1" s="1128"/>
      <c r="BH1" s="1128"/>
      <c r="BI1" s="1128"/>
      <c r="BJ1" s="1128"/>
      <c r="BK1" s="1128"/>
      <c r="BL1" s="257"/>
      <c r="BM1" s="257"/>
      <c r="BN1" s="1128" t="s">
        <v>514</v>
      </c>
      <c r="BO1" s="1128"/>
      <c r="BP1" s="1128"/>
      <c r="BQ1" s="1128"/>
      <c r="BR1" s="1128"/>
      <c r="BS1" s="1128"/>
      <c r="BT1" s="1128"/>
      <c r="BU1" s="1128"/>
      <c r="BV1" s="1128"/>
      <c r="BW1" s="1128"/>
      <c r="BX1" s="1128"/>
      <c r="BY1" s="1128"/>
      <c r="BZ1" s="1128"/>
      <c r="CA1" s="1128"/>
      <c r="CB1" s="1128"/>
      <c r="CC1" s="1128"/>
      <c r="CD1" s="1128"/>
      <c r="CE1" s="1128"/>
      <c r="CF1" s="257"/>
      <c r="CG1" s="257"/>
      <c r="CH1" s="1128" t="s">
        <v>515</v>
      </c>
      <c r="CI1" s="1128"/>
      <c r="CJ1" s="1128"/>
      <c r="CK1" s="1128"/>
      <c r="CL1" s="1128"/>
      <c r="CM1" s="1128"/>
      <c r="CN1" s="1128"/>
      <c r="CO1" s="1128"/>
      <c r="CP1" s="1128"/>
      <c r="CQ1" s="1128"/>
      <c r="CR1" s="1128"/>
      <c r="CS1" s="1128"/>
      <c r="CT1" s="1128"/>
      <c r="CU1" s="1128"/>
      <c r="CV1" s="1128"/>
      <c r="CW1" s="1128"/>
      <c r="CX1" s="1128"/>
      <c r="CY1" s="1135"/>
      <c r="CZ1" s="1135"/>
      <c r="DA1" s="1128" t="s">
        <v>516</v>
      </c>
      <c r="DB1" s="1128"/>
      <c r="DC1" s="1128"/>
      <c r="DD1" s="1128"/>
      <c r="DE1" s="1128"/>
      <c r="DF1" s="1128"/>
      <c r="DG1" s="1128"/>
      <c r="DH1" s="1128"/>
      <c r="DI1" s="1128"/>
      <c r="DJ1" s="1128"/>
      <c r="DK1" s="1128"/>
      <c r="DL1" s="1128"/>
      <c r="DM1" s="1128"/>
      <c r="DN1" s="1128"/>
      <c r="DO1" s="1135"/>
      <c r="DP1" s="1135"/>
      <c r="DQ1" s="1128" t="s">
        <v>516</v>
      </c>
      <c r="DR1" s="1128"/>
      <c r="DS1" s="1128"/>
      <c r="DT1" s="1128"/>
      <c r="DU1" s="1128"/>
      <c r="DV1" s="1128"/>
      <c r="DW1" s="1128"/>
      <c r="DX1" s="1128"/>
      <c r="DY1" s="1128"/>
      <c r="DZ1" s="1128"/>
      <c r="EA1" s="1128"/>
      <c r="EB1" s="1128"/>
      <c r="EC1" s="1128"/>
      <c r="ED1" s="1128"/>
      <c r="EE1" s="1135"/>
      <c r="EF1" s="1135"/>
      <c r="EG1" s="1128" t="s">
        <v>517</v>
      </c>
      <c r="EH1" s="1128"/>
      <c r="EI1" s="1128"/>
      <c r="EJ1" s="1128"/>
      <c r="EK1" s="1128"/>
      <c r="EL1" s="1128"/>
      <c r="EM1" s="1128"/>
      <c r="EN1" s="1128"/>
      <c r="EO1" s="1128"/>
      <c r="EP1" s="1128"/>
      <c r="EQ1" s="1128"/>
      <c r="ER1" s="1128"/>
      <c r="ES1" s="1128"/>
      <c r="ET1" s="1128"/>
      <c r="EU1" s="135"/>
      <c r="EV1" s="1128" t="s">
        <v>518</v>
      </c>
      <c r="EW1" s="1128"/>
      <c r="EX1" s="1128"/>
      <c r="EY1" s="1128"/>
      <c r="EZ1" s="1128"/>
      <c r="FA1" s="1128"/>
      <c r="FB1" s="1128"/>
      <c r="FC1" s="1128"/>
      <c r="FD1" s="1128"/>
      <c r="FE1" s="1128"/>
      <c r="FF1" s="1128"/>
      <c r="FG1" s="1128"/>
      <c r="FH1" s="1128"/>
      <c r="FI1" s="1128"/>
      <c r="FJ1" s="1128"/>
      <c r="FK1" s="1135"/>
      <c r="FL1" s="1135"/>
      <c r="FM1" s="1128" t="s">
        <v>519</v>
      </c>
      <c r="FN1" s="1128"/>
      <c r="FO1" s="1128"/>
      <c r="FP1" s="1128"/>
      <c r="FQ1" s="1128"/>
      <c r="FR1" s="1128"/>
      <c r="FS1" s="1128"/>
      <c r="FT1" s="1128"/>
      <c r="FU1" s="1128"/>
      <c r="FV1" s="1128"/>
      <c r="FW1" s="1128"/>
      <c r="FX1" s="1128"/>
      <c r="FY1" s="1128"/>
      <c r="FZ1" s="1128"/>
      <c r="GA1" s="135"/>
      <c r="GB1" s="135"/>
      <c r="GC1" s="1128" t="s">
        <v>519</v>
      </c>
      <c r="GD1" s="1128"/>
      <c r="GE1" s="1128"/>
      <c r="GF1" s="1128"/>
      <c r="GG1" s="1128"/>
      <c r="GH1" s="1128"/>
      <c r="GI1" s="1128"/>
      <c r="GJ1" s="1128"/>
      <c r="GK1" s="1128"/>
      <c r="GL1" s="1128"/>
      <c r="GM1" s="1128"/>
      <c r="GN1" s="1128"/>
      <c r="GO1" s="1128"/>
      <c r="GP1" s="1128"/>
      <c r="GQ1" s="1135"/>
      <c r="GR1" s="1135"/>
      <c r="GS1" s="1211" t="s">
        <v>520</v>
      </c>
      <c r="GT1" s="1211"/>
      <c r="GU1" s="1211"/>
      <c r="GV1" s="1211"/>
      <c r="GW1" s="1211"/>
      <c r="GX1" s="1211"/>
      <c r="GY1" s="1211"/>
      <c r="GZ1" s="1211"/>
      <c r="HA1" s="1211"/>
      <c r="HB1" s="1211"/>
      <c r="HC1" s="1211"/>
      <c r="HD1" s="1211"/>
      <c r="HE1" s="1211"/>
      <c r="HF1" s="1135"/>
      <c r="HG1" s="1135"/>
      <c r="HH1" s="1211" t="s">
        <v>520</v>
      </c>
      <c r="HI1" s="1211"/>
      <c r="HJ1" s="1211"/>
      <c r="HK1" s="1211"/>
      <c r="HL1" s="1211"/>
      <c r="HM1" s="1211"/>
      <c r="HN1" s="1211"/>
      <c r="HO1" s="1211"/>
      <c r="HP1" s="1211"/>
      <c r="HQ1" s="1211"/>
      <c r="HR1" s="1211"/>
      <c r="HS1" s="1211"/>
      <c r="HT1" s="1211"/>
      <c r="HU1" s="134"/>
      <c r="HV1" s="1135"/>
      <c r="HW1" s="1135"/>
      <c r="HX1" s="1211" t="s">
        <v>520</v>
      </c>
      <c r="HY1" s="1211"/>
      <c r="HZ1" s="1211"/>
      <c r="IA1" s="1211"/>
      <c r="IB1" s="1211"/>
      <c r="IC1" s="1211"/>
      <c r="ID1" s="1211"/>
      <c r="IE1" s="1211"/>
      <c r="IF1" s="1211"/>
      <c r="IG1" s="1211"/>
      <c r="IH1" s="1211"/>
      <c r="II1" s="1211"/>
      <c r="IJ1" s="1211"/>
      <c r="IK1" s="134"/>
    </row>
    <row r="2" spans="6:245" ht="9.75" customHeight="1" x14ac:dyDescent="0.5">
      <c r="F2" s="1195" t="s">
        <v>521</v>
      </c>
      <c r="G2" s="1195"/>
      <c r="H2" s="1195"/>
      <c r="I2" s="1195"/>
      <c r="J2" s="1195"/>
      <c r="K2" s="1195"/>
      <c r="L2" s="1195"/>
      <c r="Q2" s="494"/>
      <c r="R2" s="494"/>
      <c r="S2" s="1455"/>
      <c r="T2" s="1455"/>
      <c r="U2" s="1455"/>
      <c r="V2" s="1455"/>
      <c r="W2" s="1455"/>
      <c r="X2" s="1455"/>
      <c r="Y2" s="1455"/>
      <c r="Z2" s="1455"/>
      <c r="AA2" s="1455"/>
      <c r="AB2" s="1455"/>
      <c r="AC2" s="1455"/>
      <c r="AD2" s="1455"/>
      <c r="AE2" s="1455"/>
      <c r="AF2" s="1455"/>
      <c r="AG2" s="134"/>
      <c r="AH2" s="1128"/>
      <c r="AI2" s="1128"/>
      <c r="AJ2" s="1128"/>
      <c r="AK2" s="1128"/>
      <c r="AL2" s="1128"/>
      <c r="AM2" s="1128"/>
      <c r="AN2" s="1128"/>
      <c r="AO2" s="1128"/>
      <c r="AP2" s="1128"/>
      <c r="AQ2" s="1128"/>
      <c r="AR2" s="1128"/>
      <c r="AS2" s="1128"/>
      <c r="AT2" s="1128"/>
      <c r="AU2" s="1128"/>
      <c r="AV2" s="1128"/>
      <c r="AW2" s="1135"/>
      <c r="AX2" s="1128"/>
      <c r="AY2" s="1128"/>
      <c r="AZ2" s="1128"/>
      <c r="BA2" s="1128"/>
      <c r="BB2" s="1128"/>
      <c r="BC2" s="1128"/>
      <c r="BD2" s="1128"/>
      <c r="BE2" s="1128"/>
      <c r="BF2" s="1128"/>
      <c r="BG2" s="1128"/>
      <c r="BH2" s="1128"/>
      <c r="BI2" s="1128"/>
      <c r="BJ2" s="1128"/>
      <c r="BK2" s="1128"/>
      <c r="BL2" s="257"/>
      <c r="BM2" s="257"/>
      <c r="BN2" s="1128"/>
      <c r="BO2" s="1128"/>
      <c r="BP2" s="1128"/>
      <c r="BQ2" s="1128"/>
      <c r="BR2" s="1128"/>
      <c r="BS2" s="1128"/>
      <c r="BT2" s="1128"/>
      <c r="BU2" s="1128"/>
      <c r="BV2" s="1128"/>
      <c r="BW2" s="1128"/>
      <c r="BX2" s="1128"/>
      <c r="BY2" s="1128"/>
      <c r="BZ2" s="1128"/>
      <c r="CA2" s="1128"/>
      <c r="CB2" s="1128"/>
      <c r="CC2" s="1128"/>
      <c r="CD2" s="1128"/>
      <c r="CE2" s="1128"/>
      <c r="CF2" s="257"/>
      <c r="CG2" s="257"/>
      <c r="CH2" s="1128"/>
      <c r="CI2" s="1128"/>
      <c r="CJ2" s="1128"/>
      <c r="CK2" s="1128"/>
      <c r="CL2" s="1128"/>
      <c r="CM2" s="1128"/>
      <c r="CN2" s="1128"/>
      <c r="CO2" s="1128"/>
      <c r="CP2" s="1128"/>
      <c r="CQ2" s="1128"/>
      <c r="CR2" s="1128"/>
      <c r="CS2" s="1128"/>
      <c r="CT2" s="1128"/>
      <c r="CU2" s="1128"/>
      <c r="CV2" s="1128"/>
      <c r="CW2" s="1128"/>
      <c r="CX2" s="1128"/>
      <c r="CY2" s="1135"/>
      <c r="CZ2" s="1135"/>
      <c r="DA2" s="1128"/>
      <c r="DB2" s="1128"/>
      <c r="DC2" s="1128"/>
      <c r="DD2" s="1128"/>
      <c r="DE2" s="1128"/>
      <c r="DF2" s="1128"/>
      <c r="DG2" s="1128"/>
      <c r="DH2" s="1128"/>
      <c r="DI2" s="1128"/>
      <c r="DJ2" s="1128"/>
      <c r="DK2" s="1128"/>
      <c r="DL2" s="1128"/>
      <c r="DM2" s="1128"/>
      <c r="DN2" s="1128"/>
      <c r="DO2" s="1135"/>
      <c r="DP2" s="1135"/>
      <c r="DQ2" s="1128"/>
      <c r="DR2" s="1128"/>
      <c r="DS2" s="1128"/>
      <c r="DT2" s="1128"/>
      <c r="DU2" s="1128"/>
      <c r="DV2" s="1128"/>
      <c r="DW2" s="1128"/>
      <c r="DX2" s="1128"/>
      <c r="DY2" s="1128"/>
      <c r="DZ2" s="1128"/>
      <c r="EA2" s="1128"/>
      <c r="EB2" s="1128"/>
      <c r="EC2" s="1128"/>
      <c r="ED2" s="1128"/>
      <c r="EE2" s="1135"/>
      <c r="EF2" s="1135"/>
      <c r="EG2" s="1128"/>
      <c r="EH2" s="1128"/>
      <c r="EI2" s="1128"/>
      <c r="EJ2" s="1128"/>
      <c r="EK2" s="1128"/>
      <c r="EL2" s="1128"/>
      <c r="EM2" s="1128"/>
      <c r="EN2" s="1128"/>
      <c r="EO2" s="1128"/>
      <c r="EP2" s="1128"/>
      <c r="EQ2" s="1128"/>
      <c r="ER2" s="1128"/>
      <c r="ES2" s="1128"/>
      <c r="ET2" s="1128"/>
      <c r="EU2" s="135"/>
      <c r="EV2" s="1128"/>
      <c r="EW2" s="1128"/>
      <c r="EX2" s="1128"/>
      <c r="EY2" s="1128"/>
      <c r="EZ2" s="1128"/>
      <c r="FA2" s="1128"/>
      <c r="FB2" s="1128"/>
      <c r="FC2" s="1128"/>
      <c r="FD2" s="1128"/>
      <c r="FE2" s="1128"/>
      <c r="FF2" s="1128"/>
      <c r="FG2" s="1128"/>
      <c r="FH2" s="1128"/>
      <c r="FI2" s="1128"/>
      <c r="FJ2" s="1128"/>
      <c r="FK2" s="1135"/>
      <c r="FL2" s="1135"/>
      <c r="FM2" s="1128"/>
      <c r="FN2" s="1128"/>
      <c r="FO2" s="1128"/>
      <c r="FP2" s="1128"/>
      <c r="FQ2" s="1128"/>
      <c r="FR2" s="1128"/>
      <c r="FS2" s="1128"/>
      <c r="FT2" s="1128"/>
      <c r="FU2" s="1128"/>
      <c r="FV2" s="1128"/>
      <c r="FW2" s="1128"/>
      <c r="FX2" s="1128"/>
      <c r="FY2" s="1128"/>
      <c r="FZ2" s="1128"/>
      <c r="GA2" s="135"/>
      <c r="GB2" s="135"/>
      <c r="GC2" s="1128"/>
      <c r="GD2" s="1128"/>
      <c r="GE2" s="1128"/>
      <c r="GF2" s="1128"/>
      <c r="GG2" s="1128"/>
      <c r="GH2" s="1128"/>
      <c r="GI2" s="1128"/>
      <c r="GJ2" s="1128"/>
      <c r="GK2" s="1128"/>
      <c r="GL2" s="1128"/>
      <c r="GM2" s="1128"/>
      <c r="GN2" s="1128"/>
      <c r="GO2" s="1128"/>
      <c r="GP2" s="1128"/>
      <c r="GQ2" s="1135"/>
      <c r="GR2" s="1135"/>
      <c r="GS2" s="1211"/>
      <c r="GT2" s="1211"/>
      <c r="GU2" s="1211"/>
      <c r="GV2" s="1211"/>
      <c r="GW2" s="1211"/>
      <c r="GX2" s="1211"/>
      <c r="GY2" s="1211"/>
      <c r="GZ2" s="1211"/>
      <c r="HA2" s="1211"/>
      <c r="HB2" s="1211"/>
      <c r="HC2" s="1211"/>
      <c r="HD2" s="1211"/>
      <c r="HE2" s="1211"/>
      <c r="HF2" s="1135"/>
      <c r="HG2" s="1135"/>
      <c r="HH2" s="1211"/>
      <c r="HI2" s="1211"/>
      <c r="HJ2" s="1211"/>
      <c r="HK2" s="1211"/>
      <c r="HL2" s="1211"/>
      <c r="HM2" s="1211"/>
      <c r="HN2" s="1211"/>
      <c r="HO2" s="1211"/>
      <c r="HP2" s="1211"/>
      <c r="HQ2" s="1211"/>
      <c r="HR2" s="1211"/>
      <c r="HS2" s="1211"/>
      <c r="HT2" s="1211"/>
      <c r="HU2" s="134"/>
      <c r="HV2" s="1135"/>
      <c r="HW2" s="1135"/>
      <c r="HX2" s="1211"/>
      <c r="HY2" s="1211"/>
      <c r="HZ2" s="1211"/>
      <c r="IA2" s="1211"/>
      <c r="IB2" s="1211"/>
      <c r="IC2" s="1211"/>
      <c r="ID2" s="1211"/>
      <c r="IE2" s="1211"/>
      <c r="IF2" s="1211"/>
      <c r="IG2" s="1211"/>
      <c r="IH2" s="1211"/>
      <c r="II2" s="1211"/>
      <c r="IJ2" s="1211"/>
      <c r="IK2" s="134"/>
    </row>
    <row r="3" spans="6:245" ht="9.75" customHeight="1" thickBot="1" x14ac:dyDescent="0.55000000000000004">
      <c r="F3" s="1195"/>
      <c r="G3" s="1195"/>
      <c r="H3" s="1195"/>
      <c r="I3" s="1195"/>
      <c r="J3" s="1195"/>
      <c r="K3" s="1195"/>
      <c r="L3" s="1195"/>
      <c r="AH3" s="71"/>
      <c r="AI3" s="71"/>
      <c r="AJ3" s="71"/>
      <c r="AK3" s="71"/>
      <c r="AL3" s="71"/>
      <c r="AM3" s="71"/>
      <c r="AN3" s="71"/>
      <c r="AO3" s="71"/>
      <c r="AP3" s="71"/>
      <c r="AQ3" s="71"/>
      <c r="AR3" s="71"/>
      <c r="AS3" s="71"/>
      <c r="AT3" s="71"/>
      <c r="AU3" s="71"/>
      <c r="AV3" s="71"/>
    </row>
    <row r="4" spans="6:245" ht="9.75" customHeight="1" thickBot="1" x14ac:dyDescent="0.55000000000000004">
      <c r="F4" s="1195"/>
      <c r="G4" s="1195"/>
      <c r="H4" s="1195"/>
      <c r="I4" s="1195"/>
      <c r="J4" s="1195"/>
      <c r="K4" s="1195"/>
      <c r="L4" s="1195"/>
      <c r="BP4" s="1148" t="s">
        <v>113</v>
      </c>
      <c r="BQ4" s="1132" t="s">
        <v>522</v>
      </c>
      <c r="BR4" s="1132" t="s">
        <v>523</v>
      </c>
      <c r="BS4" s="1132" t="s">
        <v>524</v>
      </c>
      <c r="BT4" s="1132" t="s">
        <v>115</v>
      </c>
      <c r="BU4" s="1129" t="s">
        <v>525</v>
      </c>
      <c r="CZ4" s="1256" t="s">
        <v>526</v>
      </c>
      <c r="DA4" s="1256"/>
      <c r="DB4" s="1256"/>
      <c r="DC4" s="1256"/>
      <c r="DD4" s="1256"/>
      <c r="DE4" s="1256"/>
      <c r="DF4" s="70"/>
      <c r="DH4" s="1256" t="s">
        <v>217</v>
      </c>
      <c r="DI4" s="1256"/>
      <c r="DJ4" s="1256"/>
      <c r="DK4" s="1256"/>
      <c r="DL4" s="1256"/>
      <c r="DM4" s="1256"/>
      <c r="FN4" s="1212" t="s">
        <v>527</v>
      </c>
      <c r="FO4" s="1212"/>
      <c r="FP4" s="1212"/>
      <c r="FQ4" s="1216">
        <f>DG48</f>
        <v>0</v>
      </c>
      <c r="FR4" s="1216"/>
      <c r="FS4" s="1216"/>
    </row>
    <row r="5" spans="6:245" ht="9.75" customHeight="1" thickBot="1" x14ac:dyDescent="0.55000000000000004">
      <c r="F5" s="1195"/>
      <c r="G5" s="1195"/>
      <c r="H5" s="1195"/>
      <c r="I5" s="1195"/>
      <c r="J5" s="1195"/>
      <c r="K5" s="1195"/>
      <c r="L5" s="1195"/>
      <c r="AH5" s="1146" t="s">
        <v>54</v>
      </c>
      <c r="AI5" s="1016" t="s">
        <v>55</v>
      </c>
      <c r="AJ5" s="1016" t="s">
        <v>56</v>
      </c>
      <c r="AK5" s="1016" t="s">
        <v>57</v>
      </c>
      <c r="AL5" s="1016" t="s">
        <v>58</v>
      </c>
      <c r="AM5" s="1016" t="s">
        <v>59</v>
      </c>
      <c r="AN5" s="1016" t="s">
        <v>60</v>
      </c>
      <c r="AO5" s="1016" t="s">
        <v>61</v>
      </c>
      <c r="AP5" s="1016" t="s">
        <v>528</v>
      </c>
      <c r="AQ5" s="1016" t="s">
        <v>63</v>
      </c>
      <c r="AR5" s="1016" t="s">
        <v>529</v>
      </c>
      <c r="AS5" s="1016" t="s">
        <v>530</v>
      </c>
      <c r="AT5" s="1167" t="s">
        <v>54</v>
      </c>
      <c r="BP5" s="1149"/>
      <c r="BQ5" s="1133"/>
      <c r="BR5" s="1133"/>
      <c r="BS5" s="1133"/>
      <c r="BT5" s="1133"/>
      <c r="BU5" s="1130"/>
      <c r="CZ5" s="1256"/>
      <c r="DA5" s="1256"/>
      <c r="DB5" s="1256"/>
      <c r="DC5" s="1256"/>
      <c r="DD5" s="1256"/>
      <c r="DE5" s="1256"/>
      <c r="DF5" s="70"/>
      <c r="DH5" s="1256"/>
      <c r="DI5" s="1256"/>
      <c r="DJ5" s="1256"/>
      <c r="DK5" s="1256"/>
      <c r="DL5" s="1256"/>
      <c r="DM5" s="1256"/>
      <c r="DZ5" s="360"/>
      <c r="EA5" s="360"/>
      <c r="EB5" s="360"/>
      <c r="EC5" s="360"/>
      <c r="EE5" s="1261"/>
      <c r="EF5" s="1259" t="s">
        <v>255</v>
      </c>
      <c r="EG5" s="1259"/>
      <c r="EH5" s="1259"/>
      <c r="EI5" s="1259"/>
      <c r="EJ5" s="971">
        <f>EJ7+EJ9</f>
        <v>0</v>
      </c>
      <c r="EK5" s="971"/>
      <c r="EU5" s="1012" t="s">
        <v>531</v>
      </c>
      <c r="EV5" s="1012"/>
      <c r="EW5" s="1012"/>
      <c r="EX5" s="1012"/>
      <c r="EY5" s="1012" t="s">
        <v>221</v>
      </c>
      <c r="EZ5" s="1012"/>
      <c r="FA5" s="1255" t="s">
        <v>223</v>
      </c>
      <c r="FB5" s="1255"/>
      <c r="FC5" s="1012" t="s">
        <v>532</v>
      </c>
      <c r="FD5" s="1012"/>
      <c r="FE5" s="1012" t="s">
        <v>217</v>
      </c>
      <c r="FF5" s="1012"/>
      <c r="FG5" s="1012" t="s">
        <v>218</v>
      </c>
      <c r="FH5" s="1012"/>
      <c r="FI5" s="1012" t="s">
        <v>533</v>
      </c>
      <c r="FJ5" s="1012"/>
      <c r="FN5" s="1212"/>
      <c r="FO5" s="1212"/>
      <c r="FP5" s="1212"/>
      <c r="FQ5" s="1216"/>
      <c r="FR5" s="1216"/>
      <c r="FS5" s="1216"/>
      <c r="GW5" s="1212">
        <f t="shared" ref="GW5:HB5" si="0">GX5-1</f>
        <v>2017</v>
      </c>
      <c r="GX5" s="1212">
        <f t="shared" si="0"/>
        <v>2018</v>
      </c>
      <c r="GY5" s="1212">
        <f t="shared" si="0"/>
        <v>2019</v>
      </c>
      <c r="GZ5" s="1212">
        <f t="shared" si="0"/>
        <v>2020</v>
      </c>
      <c r="HA5" s="1212">
        <f t="shared" si="0"/>
        <v>2021</v>
      </c>
      <c r="HB5" s="1212">
        <f t="shared" si="0"/>
        <v>2022</v>
      </c>
      <c r="HC5" s="1212" t="str">
        <f>Exploitation!B2</f>
        <v>2023</v>
      </c>
      <c r="HD5" s="1212" t="s">
        <v>534</v>
      </c>
      <c r="HE5" s="1212" t="s">
        <v>535</v>
      </c>
    </row>
    <row r="6" spans="6:245" ht="9.75" customHeight="1" thickBot="1" x14ac:dyDescent="0.55000000000000004">
      <c r="AH6" s="1147"/>
      <c r="AI6" s="1017"/>
      <c r="AJ6" s="1017"/>
      <c r="AK6" s="1017"/>
      <c r="AL6" s="1017"/>
      <c r="AM6" s="1017"/>
      <c r="AN6" s="1017"/>
      <c r="AO6" s="1017"/>
      <c r="AP6" s="1017"/>
      <c r="AQ6" s="1017"/>
      <c r="AR6" s="1017"/>
      <c r="AS6" s="1017"/>
      <c r="AT6" s="1168"/>
      <c r="AW6" s="1279" t="s">
        <v>536</v>
      </c>
      <c r="AX6" s="1280"/>
      <c r="AY6" s="1281"/>
      <c r="AZ6" s="1276" t="s">
        <v>113</v>
      </c>
      <c r="BA6" s="1151" t="s">
        <v>537</v>
      </c>
      <c r="BB6" s="1158" t="s">
        <v>538</v>
      </c>
      <c r="BC6" s="1158" t="s">
        <v>539</v>
      </c>
      <c r="BD6" s="1161" t="s">
        <v>540</v>
      </c>
      <c r="BP6" s="1150"/>
      <c r="BQ6" s="1134"/>
      <c r="BR6" s="1134"/>
      <c r="BS6" s="1134"/>
      <c r="BT6" s="1134"/>
      <c r="BU6" s="1131"/>
      <c r="CZ6" s="1257" t="s">
        <v>373</v>
      </c>
      <c r="DA6" s="1257"/>
      <c r="DB6" s="1257"/>
      <c r="DC6" s="1257"/>
      <c r="DD6" s="1199">
        <f>DD8+DD9+DD10</f>
        <v>0</v>
      </c>
      <c r="DE6" s="1199"/>
      <c r="DF6" s="70"/>
      <c r="DH6" s="1293" t="s">
        <v>383</v>
      </c>
      <c r="DI6" s="1293"/>
      <c r="DJ6" s="1293"/>
      <c r="DK6" s="1293"/>
      <c r="DL6" s="1199">
        <f>SUM(DL8:DL14)</f>
        <v>0</v>
      </c>
      <c r="DM6" s="1199"/>
      <c r="DZ6" s="1012" t="s">
        <v>541</v>
      </c>
      <c r="EA6" s="1012"/>
      <c r="EB6" s="1012"/>
      <c r="EC6" s="1014">
        <f>EC9+EC11+EC13+EC15</f>
        <v>0</v>
      </c>
      <c r="EE6" s="1262"/>
      <c r="EF6" s="1260"/>
      <c r="EG6" s="1260"/>
      <c r="EH6" s="1260"/>
      <c r="EI6" s="1260"/>
      <c r="EJ6" s="977"/>
      <c r="EK6" s="977"/>
      <c r="EU6" s="1012"/>
      <c r="EV6" s="1012"/>
      <c r="EW6" s="1012"/>
      <c r="EX6" s="1012"/>
      <c r="EY6" s="1012"/>
      <c r="EZ6" s="1012"/>
      <c r="FA6" s="1255"/>
      <c r="FB6" s="1255"/>
      <c r="FC6" s="1012"/>
      <c r="FD6" s="1012"/>
      <c r="FE6" s="1012"/>
      <c r="FF6" s="1012"/>
      <c r="FG6" s="1012"/>
      <c r="FH6" s="1012"/>
      <c r="FI6" s="1012"/>
      <c r="FJ6" s="1012"/>
      <c r="FN6" s="1212"/>
      <c r="FO6" s="1212"/>
      <c r="FP6" s="1212"/>
      <c r="FQ6" s="1216"/>
      <c r="FR6" s="1216"/>
      <c r="FS6" s="1216"/>
      <c r="GW6" s="1212"/>
      <c r="GX6" s="1212"/>
      <c r="GY6" s="1212"/>
      <c r="GZ6" s="1212"/>
      <c r="HA6" s="1212"/>
      <c r="HB6" s="1212"/>
      <c r="HC6" s="1212"/>
      <c r="HD6" s="1212"/>
      <c r="HE6" s="1212"/>
    </row>
    <row r="7" spans="6:245" ht="9.75" customHeight="1" x14ac:dyDescent="0.5">
      <c r="G7" s="1196">
        <f>Exploitation!B3</f>
        <v>0</v>
      </c>
      <c r="H7" s="1196"/>
      <c r="I7" s="1196"/>
      <c r="J7" s="1196"/>
      <c r="K7" s="1196"/>
      <c r="AG7" s="1204" t="s">
        <v>39</v>
      </c>
      <c r="AH7" s="1169">
        <f>' Elevage'!C3</f>
        <v>0</v>
      </c>
      <c r="AI7" s="1154">
        <f>' Elevage'!D3</f>
        <v>0</v>
      </c>
      <c r="AJ7" s="1154">
        <f>' Elevage'!E3</f>
        <v>0</v>
      </c>
      <c r="AK7" s="1154">
        <f>' Elevage'!F3</f>
        <v>0</v>
      </c>
      <c r="AL7" s="1154">
        <f>' Elevage'!G3</f>
        <v>0</v>
      </c>
      <c r="AM7" s="1154">
        <f>' Elevage'!H3</f>
        <v>0</v>
      </c>
      <c r="AN7" s="1154">
        <f>' Elevage'!I3</f>
        <v>0</v>
      </c>
      <c r="AO7" s="1154">
        <f>' Elevage'!J3</f>
        <v>0</v>
      </c>
      <c r="AP7" s="1154">
        <f>' Elevage'!K3</f>
        <v>0</v>
      </c>
      <c r="AQ7" s="1154">
        <f>' Elevage'!L3</f>
        <v>0</v>
      </c>
      <c r="AR7" s="1154">
        <f>' Elevage'!M3</f>
        <v>0</v>
      </c>
      <c r="AS7" s="1154">
        <f>' Elevage'!N3</f>
        <v>0</v>
      </c>
      <c r="AT7" s="1156">
        <f>' Elevage'!O3</f>
        <v>0</v>
      </c>
      <c r="AU7" s="1164">
        <f>' Elevage'!P3</f>
        <v>0</v>
      </c>
      <c r="AV7" s="1288" t="s">
        <v>68</v>
      </c>
      <c r="AW7" s="1282"/>
      <c r="AX7" s="1283"/>
      <c r="AY7" s="1284"/>
      <c r="AZ7" s="1277"/>
      <c r="BA7" s="1152"/>
      <c r="BB7" s="1159"/>
      <c r="BC7" s="1159"/>
      <c r="BD7" s="1162"/>
      <c r="CH7" s="1138" t="s">
        <v>82</v>
      </c>
      <c r="CI7" s="1138" t="s">
        <v>195</v>
      </c>
      <c r="CJ7" s="1138" t="s">
        <v>72</v>
      </c>
      <c r="CK7" s="1138" t="s">
        <v>542</v>
      </c>
      <c r="CL7" s="1138" t="s">
        <v>543</v>
      </c>
      <c r="CM7" s="1138" t="s">
        <v>544</v>
      </c>
      <c r="CN7" s="1138" t="s">
        <v>87</v>
      </c>
      <c r="CO7" s="1138" t="s">
        <v>201</v>
      </c>
      <c r="CP7" s="1138"/>
      <c r="CZ7" s="1258"/>
      <c r="DA7" s="1258"/>
      <c r="DB7" s="1258"/>
      <c r="DC7" s="1258"/>
      <c r="DD7" s="963"/>
      <c r="DE7" s="963"/>
      <c r="DF7" s="70"/>
      <c r="DH7" s="994"/>
      <c r="DI7" s="994"/>
      <c r="DJ7" s="994"/>
      <c r="DK7" s="994"/>
      <c r="DL7" s="963"/>
      <c r="DM7" s="963"/>
      <c r="DX7" s="68"/>
      <c r="DY7" s="68"/>
      <c r="DZ7" s="1012"/>
      <c r="EA7" s="1012"/>
      <c r="EB7" s="1012"/>
      <c r="EC7" s="1014"/>
      <c r="EF7" s="949" t="s">
        <v>256</v>
      </c>
      <c r="EG7" s="949"/>
      <c r="EH7" s="949"/>
      <c r="EI7" s="949"/>
      <c r="EJ7" s="978">
        <f>'Charges de structure'!C3</f>
        <v>0</v>
      </c>
      <c r="EK7" s="978"/>
      <c r="EU7" s="926" t="str">
        <f>IF('Grandes cultures'!C$2=0,"",'Grandes cultures'!C$2)</f>
        <v/>
      </c>
      <c r="EV7" s="926"/>
      <c r="EW7" s="926"/>
      <c r="EX7" s="926"/>
      <c r="EY7" s="1010">
        <f>'Grandes cultures'!B3</f>
        <v>0</v>
      </c>
      <c r="EZ7" s="1010"/>
      <c r="FA7" s="926">
        <f>'Grandes cultures'!H3</f>
        <v>0</v>
      </c>
      <c r="FB7" s="926"/>
      <c r="FC7" s="1007">
        <f>'Grandes cultures'!E3</f>
        <v>0</v>
      </c>
      <c r="FD7" s="1007"/>
      <c r="FE7" s="1009">
        <f>'Grandes cultures'!F24</f>
        <v>0</v>
      </c>
      <c r="FF7" s="1009"/>
      <c r="FG7" s="1009">
        <f>'Grandes cultures'!F33</f>
        <v>0</v>
      </c>
      <c r="FH7" s="1009"/>
      <c r="FI7" s="1249">
        <f>'Grandes cultures'!F37</f>
        <v>0</v>
      </c>
      <c r="FJ7" s="1249"/>
      <c r="FN7" s="61"/>
      <c r="FO7" s="61"/>
      <c r="FP7" s="61"/>
      <c r="FQ7" s="258"/>
      <c r="FR7" s="80"/>
      <c r="GR7" s="132"/>
      <c r="GS7" s="132"/>
      <c r="GT7" s="132"/>
      <c r="GU7" s="132"/>
      <c r="GV7" s="132"/>
      <c r="GW7" s="140"/>
      <c r="GX7" s="140"/>
      <c r="GY7" s="140"/>
      <c r="GZ7" s="140"/>
      <c r="HA7" s="140"/>
      <c r="HB7" s="140"/>
      <c r="HC7" s="140"/>
    </row>
    <row r="8" spans="6:245" ht="9.75" customHeight="1" thickBot="1" x14ac:dyDescent="0.55000000000000004">
      <c r="G8" s="1196"/>
      <c r="H8" s="1196"/>
      <c r="I8" s="1196"/>
      <c r="J8" s="1196"/>
      <c r="K8" s="1196"/>
      <c r="AG8" s="1205"/>
      <c r="AH8" s="1170"/>
      <c r="AI8" s="1155"/>
      <c r="AJ8" s="1155"/>
      <c r="AK8" s="1155"/>
      <c r="AL8" s="1155"/>
      <c r="AM8" s="1155"/>
      <c r="AN8" s="1155"/>
      <c r="AO8" s="1155"/>
      <c r="AP8" s="1155"/>
      <c r="AQ8" s="1155"/>
      <c r="AR8" s="1155"/>
      <c r="AS8" s="1155"/>
      <c r="AT8" s="1157"/>
      <c r="AU8" s="1165"/>
      <c r="AV8" s="974"/>
      <c r="AW8" s="1285"/>
      <c r="AX8" s="1286"/>
      <c r="AY8" s="1287"/>
      <c r="AZ8" s="1278"/>
      <c r="BA8" s="1153"/>
      <c r="BB8" s="1160"/>
      <c r="BC8" s="1160"/>
      <c r="BD8" s="1163"/>
      <c r="CH8" s="1138"/>
      <c r="CI8" s="1138"/>
      <c r="CJ8" s="1138"/>
      <c r="CK8" s="1138"/>
      <c r="CL8" s="1138"/>
      <c r="CM8" s="1138"/>
      <c r="CN8" s="1138"/>
      <c r="CO8" s="1138"/>
      <c r="CP8" s="1138"/>
      <c r="CZ8" s="949" t="s">
        <v>545</v>
      </c>
      <c r="DA8" s="949"/>
      <c r="DB8" s="949"/>
      <c r="DC8" s="949"/>
      <c r="DD8" s="954">
        <f>Calcule!I5+Calcule!I8+Calcule!I11+Calcule!I14+Calcule!I17+Calcule!I20+Calcule!I23+Calcule!I26+Calcule!I29+Calcule!I32</f>
        <v>0</v>
      </c>
      <c r="DE8" s="954"/>
      <c r="DF8" s="70"/>
      <c r="DH8" s="949" t="s">
        <v>150</v>
      </c>
      <c r="DI8" s="949"/>
      <c r="DJ8" s="949"/>
      <c r="DK8" s="949"/>
      <c r="DL8" s="954">
        <f>'Charges ovin'!C4+'Charges ovin'!C6</f>
        <v>0</v>
      </c>
      <c r="DM8" s="954"/>
      <c r="DW8" s="68"/>
      <c r="DX8" s="68"/>
      <c r="DY8" s="68"/>
      <c r="DZ8" s="1013"/>
      <c r="EA8" s="1013"/>
      <c r="EB8" s="1013"/>
      <c r="EC8" s="1015"/>
      <c r="EF8" s="949" t="s">
        <v>257</v>
      </c>
      <c r="EG8" s="949"/>
      <c r="EH8" s="949"/>
      <c r="EI8" s="949"/>
      <c r="EJ8" s="491"/>
      <c r="EK8" s="491">
        <f>'Charges de structure'!C4</f>
        <v>0</v>
      </c>
      <c r="EU8" s="927"/>
      <c r="EV8" s="927"/>
      <c r="EW8" s="927"/>
      <c r="EX8" s="927"/>
      <c r="EY8" s="1011"/>
      <c r="EZ8" s="1011"/>
      <c r="FA8" s="927"/>
      <c r="FB8" s="927"/>
      <c r="FC8" s="1008"/>
      <c r="FD8" s="1008"/>
      <c r="FE8" s="1005"/>
      <c r="FF8" s="1005"/>
      <c r="FG8" s="1005"/>
      <c r="FH8" s="1005"/>
      <c r="FI8" s="1250"/>
      <c r="FJ8" s="1250"/>
      <c r="FN8" s="61"/>
      <c r="FO8" s="61"/>
      <c r="FP8" s="61"/>
      <c r="GR8" s="1213" t="s">
        <v>30</v>
      </c>
      <c r="GS8" s="1214"/>
      <c r="GT8" s="1214"/>
      <c r="GU8" s="1214"/>
      <c r="GV8" s="1215"/>
      <c r="GW8" s="136"/>
      <c r="GX8" s="136"/>
      <c r="GY8" s="136"/>
      <c r="GZ8" s="136"/>
      <c r="HA8" s="136"/>
      <c r="HB8" s="136"/>
      <c r="HC8" s="230">
        <f>C25</f>
        <v>0</v>
      </c>
      <c r="HD8" s="237" t="e">
        <f>HLOOKUP(Exploitation!B12,Références!D18:N55,2,FALSE)</f>
        <v>#N/A</v>
      </c>
      <c r="HE8" s="226"/>
    </row>
    <row r="9" spans="6:245" ht="9.75" customHeight="1" thickBot="1" x14ac:dyDescent="0.55000000000000004">
      <c r="G9" s="1196"/>
      <c r="H9" s="1196"/>
      <c r="I9" s="1196"/>
      <c r="J9" s="1196"/>
      <c r="K9" s="1196"/>
      <c r="AG9" s="271" t="s">
        <v>70</v>
      </c>
      <c r="AH9" s="267">
        <f>' Elevage'!C4</f>
        <v>0</v>
      </c>
      <c r="AI9" s="265">
        <f>' Elevage'!D4</f>
        <v>0</v>
      </c>
      <c r="AJ9" s="265">
        <f>' Elevage'!E4</f>
        <v>0</v>
      </c>
      <c r="AK9" s="265">
        <f>' Elevage'!F4</f>
        <v>0</v>
      </c>
      <c r="AL9" s="265">
        <f>' Elevage'!G4</f>
        <v>0</v>
      </c>
      <c r="AM9" s="265">
        <f>' Elevage'!H4</f>
        <v>0</v>
      </c>
      <c r="AN9" s="265">
        <f>' Elevage'!I4</f>
        <v>0</v>
      </c>
      <c r="AO9" s="265">
        <f>' Elevage'!J4</f>
        <v>0</v>
      </c>
      <c r="AP9" s="265">
        <f>' Elevage'!K4</f>
        <v>0</v>
      </c>
      <c r="AQ9" s="265">
        <f>' Elevage'!L4</f>
        <v>0</v>
      </c>
      <c r="AR9" s="265">
        <f>' Elevage'!M4</f>
        <v>0</v>
      </c>
      <c r="AS9" s="265">
        <f>' Elevage'!N4</f>
        <v>0</v>
      </c>
      <c r="AT9" s="268">
        <f>' Elevage'!O4</f>
        <v>0</v>
      </c>
      <c r="AU9" s="1166"/>
      <c r="AV9" s="1289"/>
      <c r="BM9" s="1085" t="s">
        <v>103</v>
      </c>
      <c r="BN9" s="1086"/>
      <c r="BO9" s="1086"/>
      <c r="BP9" s="465">
        <f>SUM(BP10:BP13)</f>
        <v>0</v>
      </c>
      <c r="BQ9" s="466">
        <f>IF(BP9=0,,(BP10*BQ10+BP11*BQ11+BP12*BQ12+BP13*BQ13)/BP9)</f>
        <v>0</v>
      </c>
      <c r="BR9" s="467">
        <f>IF(BP9=0,,BT9/(BP9*BQ9))</f>
        <v>0</v>
      </c>
      <c r="BS9" s="468">
        <f>IF(BP9=0,,BT9/BP9)</f>
        <v>0</v>
      </c>
      <c r="BT9" s="468">
        <f>SUM(BT10:BT13)</f>
        <v>0</v>
      </c>
      <c r="BU9" s="471" t="str">
        <f>IF(BP9=0,"",(BP10*BU10+BP11*BU11+BP12*BU12+BP13*BU13)/BP9)</f>
        <v/>
      </c>
      <c r="CH9" s="1138"/>
      <c r="CI9" s="1138"/>
      <c r="CJ9" s="1138"/>
      <c r="CK9" s="1138"/>
      <c r="CL9" s="1138"/>
      <c r="CM9" s="1138"/>
      <c r="CN9" s="1138"/>
      <c r="CO9" s="1138"/>
      <c r="CP9" s="1138"/>
      <c r="CZ9" s="949" t="s">
        <v>546</v>
      </c>
      <c r="DA9" s="949"/>
      <c r="DB9" s="949"/>
      <c r="DC9" s="949"/>
      <c r="DD9" s="954">
        <f>Calcule!P7*Références!K5</f>
        <v>0</v>
      </c>
      <c r="DE9" s="954"/>
      <c r="DF9" s="70"/>
      <c r="DH9" s="949" t="s">
        <v>153</v>
      </c>
      <c r="DI9" s="949"/>
      <c r="DJ9" s="949"/>
      <c r="DK9" s="949"/>
      <c r="DL9" s="954">
        <f>'Charges ovin'!C9</f>
        <v>0</v>
      </c>
      <c r="DM9" s="954"/>
      <c r="DY9" s="438"/>
      <c r="DZ9" s="961" t="s">
        <v>252</v>
      </c>
      <c r="EA9" s="961"/>
      <c r="EB9" s="961"/>
      <c r="EC9" s="988">
        <f>Calcule!AM7</f>
        <v>0</v>
      </c>
      <c r="EE9" s="360"/>
      <c r="EF9" s="945" t="s">
        <v>258</v>
      </c>
      <c r="EG9" s="945"/>
      <c r="EH9" s="945"/>
      <c r="EI9" s="945"/>
      <c r="EJ9" s="964">
        <f>'Charges de structure'!C5</f>
        <v>0</v>
      </c>
      <c r="EK9" s="964"/>
      <c r="EU9" s="926" t="str">
        <f>IF('Grandes cultures'!K$2=0,"",'Grandes cultures'!K$2)</f>
        <v/>
      </c>
      <c r="EV9" s="926"/>
      <c r="EW9" s="926"/>
      <c r="EX9" s="926"/>
      <c r="EY9" s="1010">
        <f>'Grandes cultures'!J3</f>
        <v>0</v>
      </c>
      <c r="EZ9" s="1010"/>
      <c r="FA9" s="926">
        <f>'Grandes cultures'!P3</f>
        <v>0</v>
      </c>
      <c r="FB9" s="926"/>
      <c r="FC9" s="1007">
        <f>'Grandes cultures'!M3</f>
        <v>0</v>
      </c>
      <c r="FD9" s="1007"/>
      <c r="FE9" s="1004">
        <f>'Grandes cultures'!N24</f>
        <v>0</v>
      </c>
      <c r="FF9" s="1004"/>
      <c r="FG9" s="1009">
        <f>'Grandes cultures'!N33</f>
        <v>0</v>
      </c>
      <c r="FH9" s="1009"/>
      <c r="FI9" s="1249">
        <f>'Grandes cultures'!N37</f>
        <v>0</v>
      </c>
      <c r="FJ9" s="1249"/>
      <c r="FN9" s="1217" t="s">
        <v>547</v>
      </c>
      <c r="FO9" s="1217"/>
      <c r="FP9" s="1217"/>
      <c r="FQ9" s="1216">
        <f>FI7+FI9+FI11+FI13+FI15+FI17+FI19+FI21+EZ45</f>
        <v>0</v>
      </c>
      <c r="FR9" s="1216"/>
      <c r="FS9" s="1216"/>
      <c r="FV9" s="1251" t="s">
        <v>408</v>
      </c>
      <c r="FW9" s="830"/>
      <c r="FX9" s="830"/>
      <c r="FY9" s="1218">
        <f>EY35+EY37+EY39+EY41+EY43+DD40+FI50+FG7+FG9+FG11+FG13+FG17+FG15+FG19+FG21</f>
        <v>0</v>
      </c>
      <c r="FZ9" s="1219"/>
      <c r="GR9" s="1213" t="s">
        <v>548</v>
      </c>
      <c r="GS9" s="1214"/>
      <c r="GT9" s="1214"/>
      <c r="GU9" s="1214"/>
      <c r="GV9" s="1215"/>
      <c r="GW9" s="136"/>
      <c r="GX9" s="136"/>
      <c r="GY9" s="136"/>
      <c r="GZ9" s="136"/>
      <c r="HA9" s="136"/>
      <c r="HB9" s="136"/>
      <c r="HC9" s="231">
        <f>Exploitation!B15</f>
        <v>0</v>
      </c>
      <c r="HD9" s="136" t="e">
        <f>HLOOKUP(Exploitation!B12,Références!D18:N55,3,FALSE)</f>
        <v>#N/A</v>
      </c>
      <c r="HE9" s="226"/>
    </row>
    <row r="10" spans="6:245" ht="9.75" customHeight="1" x14ac:dyDescent="0.5">
      <c r="G10" s="143"/>
      <c r="H10" s="143"/>
      <c r="I10" s="143"/>
      <c r="J10" s="143"/>
      <c r="K10" s="143"/>
      <c r="AG10" s="1453" t="s">
        <v>72</v>
      </c>
      <c r="AH10" s="1290">
        <f>' Elevage'!C5</f>
        <v>0</v>
      </c>
      <c r="AI10" s="1065">
        <f>' Elevage'!D5</f>
        <v>0</v>
      </c>
      <c r="AJ10" s="1065">
        <f>' Elevage'!E5</f>
        <v>0</v>
      </c>
      <c r="AK10" s="1065">
        <f>' Elevage'!F5</f>
        <v>0</v>
      </c>
      <c r="AL10" s="1065">
        <f>' Elevage'!G5</f>
        <v>0</v>
      </c>
      <c r="AM10" s="1065">
        <f>' Elevage'!H5</f>
        <v>0</v>
      </c>
      <c r="AN10" s="1065">
        <f>' Elevage'!I5</f>
        <v>0</v>
      </c>
      <c r="AO10" s="1065">
        <f>' Elevage'!J5</f>
        <v>0</v>
      </c>
      <c r="AP10" s="1065">
        <f>' Elevage'!K5</f>
        <v>0</v>
      </c>
      <c r="AQ10" s="1065">
        <f>' Elevage'!L5</f>
        <v>0</v>
      </c>
      <c r="AR10" s="1065">
        <f>' Elevage'!M5</f>
        <v>0</v>
      </c>
      <c r="AS10" s="1065">
        <f>' Elevage'!N5</f>
        <v>0</v>
      </c>
      <c r="AT10" s="1074">
        <f>' Elevage'!O5</f>
        <v>0</v>
      </c>
      <c r="AU10" s="1067">
        <f>' Elevage'!P5</f>
        <v>0</v>
      </c>
      <c r="AV10" s="1136" t="str">
        <f>IF(AU7=0,"",AU10/AU7)</f>
        <v/>
      </c>
      <c r="AW10" s="1175" t="s">
        <v>103</v>
      </c>
      <c r="AX10" s="1176"/>
      <c r="AY10" s="1177"/>
      <c r="AZ10" s="1137">
        <f>Calcule!D3+Calcule!D6+Calcule!D9+Calcule!D12+Calcule!D15+Calcule!D18+Calcule!D21+Calcule!D24+Calcule!D27+Calcule!D30</f>
        <v>0</v>
      </c>
      <c r="BA10" s="1182" t="e">
        <f>AZ10/AZ43</f>
        <v>#DIV/0!</v>
      </c>
      <c r="BB10" s="1181" t="str">
        <f>IF('Bilan complet'!AZ10=0,"",(Calcule!D4+Calcule!D7+Calcule!D10+Calcule!D13+Calcule!D16+Calcule!D19+Calcule!D22+Calcule!D25+Calcule!D28+Calcule!D31)/'Bilan complet'!AZ10)</f>
        <v/>
      </c>
      <c r="BC10" s="1183" t="str">
        <f>IF('Bilan complet'!AZ10=0,"",(Calcule!D5+Calcule!D8+Calcule!D11+Calcule!D14+Calcule!D17+Calcule!D20+Calcule!D23+Calcule!D26+Calcule!D29+Calcule!D32)/(Calcule!D4+Calcule!D7+Calcule!D10+Calcule!D13+Calcule!D16+Calcule!D19+Calcule!D22+Calcule!D25+Calcule!D28+Calcule!D31))</f>
        <v/>
      </c>
      <c r="BD10" s="1184" t="str">
        <f>IF('Bilan complet'!AZ10=0,"",(Calcule!D5+Calcule!D8+Calcule!D11+Calcule!D14+Calcule!D17+Calcule!D20+Calcule!D23+Calcule!D26+Calcule!D29+Calcule!D32)/AZ10)</f>
        <v/>
      </c>
      <c r="BM10" s="1125" t="s">
        <v>549</v>
      </c>
      <c r="BN10" s="1126"/>
      <c r="BO10" s="1127"/>
      <c r="BP10" s="450">
        <f>Calcule!D$3</f>
        <v>0</v>
      </c>
      <c r="BQ10" s="451">
        <f>IF(BP10=0,,Calcule!D$4/BP10)</f>
        <v>0</v>
      </c>
      <c r="BR10" s="453">
        <f>IF(BP10=0,,BT10/(BP10*BQ10))</f>
        <v>0</v>
      </c>
      <c r="BS10" s="452">
        <f>IF(BP10=0,,BT10/BP10)</f>
        <v>0</v>
      </c>
      <c r="BT10" s="452">
        <f>Calcule!D$5</f>
        <v>0</v>
      </c>
      <c r="BU10" s="472">
        <f>Calcule!P20</f>
        <v>0</v>
      </c>
      <c r="CH10" s="1138"/>
      <c r="CI10" s="1138"/>
      <c r="CJ10" s="1138"/>
      <c r="CK10" s="1138"/>
      <c r="CL10" s="1138"/>
      <c r="CM10" s="1138"/>
      <c r="CN10" s="1138"/>
      <c r="CO10" s="1138"/>
      <c r="CP10" s="1138"/>
      <c r="CZ10" s="1201" t="s">
        <v>550</v>
      </c>
      <c r="DA10" s="1201"/>
      <c r="DB10" s="1201"/>
      <c r="DC10" s="1201"/>
      <c r="DD10" s="1198">
        <f>Calcule!I35+Calcule!I38+Calcule!I41+Calcule!I44</f>
        <v>0</v>
      </c>
      <c r="DE10" s="1198"/>
      <c r="DF10" s="70"/>
      <c r="DH10" s="949" t="s">
        <v>157</v>
      </c>
      <c r="DI10" s="949"/>
      <c r="DJ10" s="949"/>
      <c r="DK10" s="949"/>
      <c r="DL10" s="954">
        <f>'Charges ovin'!C11</f>
        <v>0</v>
      </c>
      <c r="DM10" s="954"/>
      <c r="DY10" s="439"/>
      <c r="DZ10" s="962"/>
      <c r="EA10" s="962"/>
      <c r="EB10" s="962"/>
      <c r="EC10" s="989"/>
      <c r="EE10" s="1267"/>
      <c r="EF10" s="990" t="s">
        <v>259</v>
      </c>
      <c r="EG10" s="990"/>
      <c r="EH10" s="990"/>
      <c r="EI10" s="990"/>
      <c r="EJ10" s="971">
        <f>EJ12+EJ13+EJ15+EJ14</f>
        <v>0</v>
      </c>
      <c r="EK10" s="971"/>
      <c r="EU10" s="927"/>
      <c r="EV10" s="927"/>
      <c r="EW10" s="927"/>
      <c r="EX10" s="927"/>
      <c r="EY10" s="1011"/>
      <c r="EZ10" s="1011"/>
      <c r="FA10" s="927"/>
      <c r="FB10" s="927"/>
      <c r="FC10" s="1008"/>
      <c r="FD10" s="1008"/>
      <c r="FE10" s="1005"/>
      <c r="FF10" s="1005"/>
      <c r="FG10" s="1005"/>
      <c r="FH10" s="1005"/>
      <c r="FI10" s="1250"/>
      <c r="FJ10" s="1250"/>
      <c r="FN10" s="1217"/>
      <c r="FO10" s="1217"/>
      <c r="FP10" s="1217"/>
      <c r="FQ10" s="1216"/>
      <c r="FR10" s="1216"/>
      <c r="FS10" s="1216"/>
      <c r="FV10" s="1252"/>
      <c r="FW10" s="1212"/>
      <c r="FX10" s="1212"/>
      <c r="FY10" s="1216"/>
      <c r="FZ10" s="1220"/>
      <c r="GR10" s="1213" t="s">
        <v>68</v>
      </c>
      <c r="GS10" s="1214"/>
      <c r="GT10" s="1214"/>
      <c r="GU10" s="1214"/>
      <c r="GV10" s="1215"/>
      <c r="GW10" s="136"/>
      <c r="GX10" s="136"/>
      <c r="GY10" s="137"/>
      <c r="GZ10" s="137"/>
      <c r="HA10" s="137"/>
      <c r="HB10" s="137"/>
      <c r="HC10" s="232">
        <f>' Elevage'!P3</f>
        <v>0</v>
      </c>
      <c r="HD10" s="136" t="e">
        <f>HLOOKUP(Exploitation!B12,Références!D18:N55,4,FALSE)</f>
        <v>#N/A</v>
      </c>
      <c r="HE10" s="226"/>
    </row>
    <row r="11" spans="6:245" ht="9.75" customHeight="1" x14ac:dyDescent="0.5">
      <c r="G11" s="143"/>
      <c r="H11" s="1318">
        <f>Exploitation!B6</f>
        <v>0</v>
      </c>
      <c r="I11" s="1318">
        <f>Exploitation!B7</f>
        <v>0</v>
      </c>
      <c r="J11" s="1318"/>
      <c r="K11" s="1318"/>
      <c r="AG11" s="1453"/>
      <c r="AH11" s="1290"/>
      <c r="AI11" s="1065"/>
      <c r="AJ11" s="1065"/>
      <c r="AK11" s="1065"/>
      <c r="AL11" s="1065"/>
      <c r="AM11" s="1065"/>
      <c r="AN11" s="1065"/>
      <c r="AO11" s="1065"/>
      <c r="AP11" s="1065"/>
      <c r="AQ11" s="1065"/>
      <c r="AR11" s="1065"/>
      <c r="AS11" s="1065"/>
      <c r="AT11" s="1074"/>
      <c r="AU11" s="1067"/>
      <c r="AV11" s="1136"/>
      <c r="AW11" s="1178"/>
      <c r="AX11" s="1179"/>
      <c r="AY11" s="1180"/>
      <c r="AZ11" s="1098"/>
      <c r="BA11" s="1084"/>
      <c r="BB11" s="1100"/>
      <c r="BC11" s="1124"/>
      <c r="BD11" s="1102"/>
      <c r="BM11" s="1094" t="s">
        <v>551</v>
      </c>
      <c r="BN11" s="1095"/>
      <c r="BO11" s="1096"/>
      <c r="BP11" s="450">
        <f>Calcule!D$6</f>
        <v>0</v>
      </c>
      <c r="BQ11" s="451">
        <f>IF(BP11=0,,Calcule!D$7/BP11)</f>
        <v>0</v>
      </c>
      <c r="BR11" s="453">
        <f>IF(BP11=0,,BT11/(BP11*BQ11))</f>
        <v>0</v>
      </c>
      <c r="BS11" s="452">
        <f>IF(BP11=0,,BT11/BP11)</f>
        <v>0</v>
      </c>
      <c r="BT11" s="452">
        <f>Calcule!D$8</f>
        <v>0</v>
      </c>
      <c r="BU11" s="472">
        <f>Calcule!Q20</f>
        <v>0</v>
      </c>
      <c r="CF11" s="801" t="s">
        <v>203</v>
      </c>
      <c r="CG11" s="801"/>
      <c r="CH11" s="1140">
        <f>'Stock et ration '!B3</f>
        <v>0</v>
      </c>
      <c r="CI11" s="1140">
        <f>'Stock et ration '!C3</f>
        <v>0</v>
      </c>
      <c r="CJ11" s="1140">
        <f>'Stock et ration '!D3</f>
        <v>0</v>
      </c>
      <c r="CK11" s="802">
        <f>'Stock et ration '!E3</f>
        <v>0</v>
      </c>
      <c r="CL11" s="802">
        <f>'Stock et ration '!F3</f>
        <v>0</v>
      </c>
      <c r="CM11" s="802">
        <f>'Stock et ration '!H3</f>
        <v>0</v>
      </c>
      <c r="CN11" s="1139">
        <f>'Stock et ration '!G3</f>
        <v>0</v>
      </c>
      <c r="CO11" s="1275">
        <f>'Stock et ration '!I3</f>
        <v>0</v>
      </c>
      <c r="CP11" s="1275"/>
      <c r="CZ11" s="1257" t="s">
        <v>552</v>
      </c>
      <c r="DA11" s="1257"/>
      <c r="DB11" s="1257"/>
      <c r="DC11" s="1257"/>
      <c r="DD11" s="1199">
        <f>-'Charges ovin'!C28</f>
        <v>0</v>
      </c>
      <c r="DE11" s="1199"/>
      <c r="DF11" s="70"/>
      <c r="DH11" s="949" t="s">
        <v>158</v>
      </c>
      <c r="DI11" s="949"/>
      <c r="DJ11" s="949"/>
      <c r="DK11" s="949"/>
      <c r="DL11" s="954">
        <f>'Charges ovin'!C13</f>
        <v>0</v>
      </c>
      <c r="DM11" s="954"/>
      <c r="DY11" s="436"/>
      <c r="DZ11" s="961" t="s">
        <v>553</v>
      </c>
      <c r="EA11" s="961"/>
      <c r="EB11" s="961"/>
      <c r="EC11" s="988">
        <f>Calcule!AM6</f>
        <v>0</v>
      </c>
      <c r="EE11" s="1268"/>
      <c r="EF11" s="994"/>
      <c r="EG11" s="994"/>
      <c r="EH11" s="994"/>
      <c r="EI11" s="994"/>
      <c r="EJ11" s="977"/>
      <c r="EK11" s="977"/>
      <c r="EU11" s="926" t="str">
        <f>IF('Grandes cultures'!S$2=0,"",'Grandes cultures'!S$2)</f>
        <v/>
      </c>
      <c r="EV11" s="926"/>
      <c r="EW11" s="926"/>
      <c r="EX11" s="926"/>
      <c r="EY11" s="1010">
        <f>'Grandes cultures'!R3</f>
        <v>0</v>
      </c>
      <c r="EZ11" s="1010"/>
      <c r="FA11" s="926">
        <f>'Grandes cultures'!X3</f>
        <v>0</v>
      </c>
      <c r="FB11" s="926"/>
      <c r="FC11" s="1007">
        <f>'Grandes cultures'!U3</f>
        <v>0</v>
      </c>
      <c r="FD11" s="1007"/>
      <c r="FE11" s="1004">
        <f>'Grandes cultures'!V24</f>
        <v>0</v>
      </c>
      <c r="FF11" s="1004"/>
      <c r="FG11" s="1009">
        <f>'Grandes cultures'!V33</f>
        <v>0</v>
      </c>
      <c r="FH11" s="1009"/>
      <c r="FI11" s="1249">
        <f>'Grandes cultures'!V37</f>
        <v>0</v>
      </c>
      <c r="FJ11" s="1249"/>
      <c r="FN11" s="1217"/>
      <c r="FO11" s="1217"/>
      <c r="FP11" s="1217"/>
      <c r="FQ11" s="1216"/>
      <c r="FR11" s="1216"/>
      <c r="FS11" s="1216"/>
      <c r="FV11" s="1253"/>
      <c r="FW11" s="1254"/>
      <c r="FX11" s="1254"/>
      <c r="FY11" s="1221"/>
      <c r="FZ11" s="1222"/>
      <c r="GR11" s="1213" t="s">
        <v>554</v>
      </c>
      <c r="GS11" s="1214"/>
      <c r="GT11" s="1214"/>
      <c r="GU11" s="1214"/>
      <c r="GV11" s="1215"/>
      <c r="GW11" s="138"/>
      <c r="GX11" s="138"/>
      <c r="GY11" s="138"/>
      <c r="GZ11" s="138"/>
      <c r="HA11" s="138"/>
      <c r="HB11" s="138"/>
      <c r="HC11" s="233" t="str">
        <f>IF(' Elevage'!P3=0,"",(' Elevage'!P6+' Elevage'!P5)/' Elevage'!P3)</f>
        <v/>
      </c>
      <c r="HD11" s="556"/>
      <c r="HE11" s="226"/>
    </row>
    <row r="12" spans="6:245" ht="9.75" customHeight="1" x14ac:dyDescent="0.5">
      <c r="G12" s="143"/>
      <c r="H12" s="1318"/>
      <c r="I12" s="1318"/>
      <c r="J12" s="1318"/>
      <c r="K12" s="1318"/>
      <c r="AG12" s="1210" t="s">
        <v>555</v>
      </c>
      <c r="AH12" s="1290">
        <f>' Elevage'!C6</f>
        <v>0</v>
      </c>
      <c r="AI12" s="1065">
        <f>' Elevage'!D6</f>
        <v>0</v>
      </c>
      <c r="AJ12" s="1065">
        <f>' Elevage'!E6</f>
        <v>0</v>
      </c>
      <c r="AK12" s="1065">
        <f>' Elevage'!F6</f>
        <v>0</v>
      </c>
      <c r="AL12" s="1065">
        <f>' Elevage'!G6</f>
        <v>0</v>
      </c>
      <c r="AM12" s="1065">
        <f>' Elevage'!H6</f>
        <v>0</v>
      </c>
      <c r="AN12" s="1065">
        <f>' Elevage'!I6</f>
        <v>0</v>
      </c>
      <c r="AO12" s="1065">
        <f>' Elevage'!J6</f>
        <v>0</v>
      </c>
      <c r="AP12" s="1065">
        <f>' Elevage'!K6</f>
        <v>0</v>
      </c>
      <c r="AQ12" s="1065">
        <f>' Elevage'!L6</f>
        <v>0</v>
      </c>
      <c r="AR12" s="1065">
        <f>' Elevage'!M6</f>
        <v>0</v>
      </c>
      <c r="AS12" s="1065">
        <f>' Elevage'!N6</f>
        <v>0</v>
      </c>
      <c r="AT12" s="1074">
        <f>' Elevage'!O6</f>
        <v>0</v>
      </c>
      <c r="AU12" s="1067">
        <f>' Elevage'!P6</f>
        <v>0</v>
      </c>
      <c r="AV12" s="1136" t="str">
        <f>IF(AU12=0,"",AU12/AU7)</f>
        <v/>
      </c>
      <c r="AW12" s="1119" t="s">
        <v>104</v>
      </c>
      <c r="AX12" s="801"/>
      <c r="AY12" s="1108"/>
      <c r="AZ12" s="1087">
        <f>Calcule!E3+Calcule!E6+Calcule!E9+Calcule!E12+Calcule!E15+Calcule!E18+Calcule!E21+Calcule!E24+Calcule!E27+Calcule!E30</f>
        <v>0</v>
      </c>
      <c r="BA12" s="1089" t="e">
        <f>AZ12/AZ$43</f>
        <v>#DIV/0!</v>
      </c>
      <c r="BB12" s="1099" t="str">
        <f>IF('Bilan complet'!AZ12=0,"",(Calcule!E4+Calcule!E7+Calcule!E10+Calcule!E13+Calcule!E16+Calcule!E19+Calcule!E22+Calcule!E25+Calcule!E28+Calcule!E31)/AZ12)</f>
        <v/>
      </c>
      <c r="BC12" s="1123" t="str">
        <f>IF('Bilan complet'!AZ12=0,"",(Calcule!E5+Calcule!E8+Calcule!E11+Calcule!E14+Calcule!E17+Calcule!E20+Calcule!E23+Calcule!E26+Calcule!E29+Calcule!E32)/(Calcule!E4+Calcule!E7+Calcule!E10+Calcule!E13+Calcule!E16+Calcule!E19+Calcule!E22+Calcule!E25+Calcule!E28+Calcule!E31))</f>
        <v/>
      </c>
      <c r="BD12" s="1101" t="str">
        <f>IF('Bilan complet'!AZ12=0,"",(Calcule!E5+Calcule!E8+Calcule!E11+Calcule!E14+Calcule!E17+Calcule!E20+Calcule!E23+Calcule!E26+Calcule!E29+Calcule!E32)/AZ12)</f>
        <v/>
      </c>
      <c r="BM12" s="1172" t="s">
        <v>556</v>
      </c>
      <c r="BN12" s="1173"/>
      <c r="BO12" s="1174"/>
      <c r="BP12" s="450">
        <f>Calcule!D$9</f>
        <v>0</v>
      </c>
      <c r="BQ12" s="451">
        <f>IF(BP12=0,,Calcule!D$10/BP12)</f>
        <v>0</v>
      </c>
      <c r="BR12" s="453">
        <f>IF(BP12=0,,BT12/(BP12*BQ12))</f>
        <v>0</v>
      </c>
      <c r="BS12" s="452">
        <f>IF(BP12=0,,BT12/BP12)</f>
        <v>0</v>
      </c>
      <c r="BT12" s="452">
        <f>Calcule!D$11</f>
        <v>0</v>
      </c>
      <c r="BU12" s="472">
        <f>Calcule!R20</f>
        <v>0</v>
      </c>
      <c r="CF12" s="801"/>
      <c r="CG12" s="801"/>
      <c r="CH12" s="1141"/>
      <c r="CI12" s="1141"/>
      <c r="CJ12" s="1141"/>
      <c r="CK12" s="802"/>
      <c r="CL12" s="802"/>
      <c r="CM12" s="802"/>
      <c r="CN12" s="1139"/>
      <c r="CO12" s="1275"/>
      <c r="CP12" s="1275"/>
      <c r="CZ12" s="1258"/>
      <c r="DA12" s="1258"/>
      <c r="DB12" s="1258"/>
      <c r="DC12" s="1258"/>
      <c r="DD12" s="1200"/>
      <c r="DE12" s="1200"/>
      <c r="DF12" s="70"/>
      <c r="DH12" s="949" t="s">
        <v>159</v>
      </c>
      <c r="DI12" s="949"/>
      <c r="DJ12" s="949"/>
      <c r="DK12" s="949"/>
      <c r="DL12" s="954">
        <f>'Charges ovin'!C15</f>
        <v>0</v>
      </c>
      <c r="DM12" s="954"/>
      <c r="DY12" s="437"/>
      <c r="DZ12" s="962"/>
      <c r="EA12" s="962"/>
      <c r="EB12" s="962"/>
      <c r="EC12" s="989"/>
      <c r="EF12" s="949" t="s">
        <v>260</v>
      </c>
      <c r="EG12" s="949"/>
      <c r="EH12" s="949"/>
      <c r="EI12" s="949"/>
      <c r="EJ12" s="978">
        <f>'Charges de structure'!C7</f>
        <v>0</v>
      </c>
      <c r="EK12" s="978"/>
      <c r="EU12" s="927"/>
      <c r="EV12" s="927"/>
      <c r="EW12" s="927"/>
      <c r="EX12" s="927"/>
      <c r="EY12" s="1011"/>
      <c r="EZ12" s="1011"/>
      <c r="FA12" s="927"/>
      <c r="FB12" s="927"/>
      <c r="FC12" s="1008"/>
      <c r="FD12" s="1008"/>
      <c r="FE12" s="1005"/>
      <c r="FF12" s="1005"/>
      <c r="FG12" s="1005"/>
      <c r="FH12" s="1005"/>
      <c r="FI12" s="1250"/>
      <c r="FJ12" s="1250"/>
      <c r="FN12" s="61"/>
      <c r="FO12" s="61"/>
      <c r="FP12" s="61"/>
      <c r="FV12" s="1223" t="s">
        <v>557</v>
      </c>
      <c r="FW12" s="1224"/>
      <c r="FX12" s="1224"/>
      <c r="FY12" s="1229">
        <f>DL40+EJ39+FE7+FE9+FE11+FE13+FE15+FE17+FE19+FE21+EX35+EX37+EX39+EX41+EX43</f>
        <v>0</v>
      </c>
      <c r="FZ12" s="1230"/>
      <c r="GR12" s="1213" t="s">
        <v>558</v>
      </c>
      <c r="GS12" s="1214"/>
      <c r="GT12" s="1214"/>
      <c r="GU12" s="1214"/>
      <c r="GV12" s="1215"/>
      <c r="GW12" s="138"/>
      <c r="GX12" s="138"/>
      <c r="GY12" s="138"/>
      <c r="GZ12" s="138"/>
      <c r="HA12" s="138"/>
      <c r="HB12" s="138"/>
      <c r="HC12" s="233" t="str">
        <f>IF(' Elevage'!P3=0,"",(' Elevage'!P5)/' Elevage'!P3)</f>
        <v/>
      </c>
      <c r="HD12" s="80"/>
      <c r="HE12" s="226"/>
    </row>
    <row r="13" spans="6:245" ht="9.75" customHeight="1" thickBot="1" x14ac:dyDescent="0.55000000000000004">
      <c r="G13" s="143"/>
      <c r="H13" s="143"/>
      <c r="I13" s="143"/>
      <c r="J13" s="143"/>
      <c r="K13" s="143"/>
      <c r="AG13" s="1210"/>
      <c r="AH13" s="1290"/>
      <c r="AI13" s="1065"/>
      <c r="AJ13" s="1065"/>
      <c r="AK13" s="1065"/>
      <c r="AL13" s="1065"/>
      <c r="AM13" s="1065"/>
      <c r="AN13" s="1065"/>
      <c r="AO13" s="1065"/>
      <c r="AP13" s="1065"/>
      <c r="AQ13" s="1065"/>
      <c r="AR13" s="1065"/>
      <c r="AS13" s="1065"/>
      <c r="AT13" s="1074"/>
      <c r="AU13" s="1067"/>
      <c r="AV13" s="1136"/>
      <c r="AW13" s="1119"/>
      <c r="AX13" s="801"/>
      <c r="AY13" s="1108"/>
      <c r="AZ13" s="1098"/>
      <c r="BA13" s="1084"/>
      <c r="BB13" s="1100"/>
      <c r="BC13" s="1124"/>
      <c r="BD13" s="1102"/>
      <c r="BM13" s="1143" t="s">
        <v>559</v>
      </c>
      <c r="BN13" s="1144"/>
      <c r="BO13" s="1145"/>
      <c r="BP13" s="461">
        <f>Calcule!D$12</f>
        <v>0</v>
      </c>
      <c r="BQ13" s="462">
        <f>IF(BP13=0,,Calcule!D$13/BP13)</f>
        <v>0</v>
      </c>
      <c r="BR13" s="463">
        <f>IF(BP13=0,,BT13/(BP13*BQ13))</f>
        <v>0</v>
      </c>
      <c r="BS13" s="464">
        <f>IF(BP13=0,,BT13/BP13)</f>
        <v>0</v>
      </c>
      <c r="BT13" s="464">
        <f>Calcule!D$14</f>
        <v>0</v>
      </c>
      <c r="BU13" s="473">
        <f>Calcule!S20</f>
        <v>0</v>
      </c>
      <c r="CF13" s="801"/>
      <c r="CG13" s="801"/>
      <c r="CH13" s="1142"/>
      <c r="CI13" s="1142"/>
      <c r="CJ13" s="1142"/>
      <c r="CK13" s="802"/>
      <c r="CL13" s="802"/>
      <c r="CM13" s="802"/>
      <c r="CN13" s="1139"/>
      <c r="CO13" s="1275"/>
      <c r="CP13" s="1275"/>
      <c r="CZ13" s="1202" t="s">
        <v>375</v>
      </c>
      <c r="DA13" s="1202"/>
      <c r="DB13" s="1202"/>
      <c r="DC13" s="1202"/>
      <c r="DD13" s="963">
        <f>DD15+DD16</f>
        <v>0</v>
      </c>
      <c r="DE13" s="963"/>
      <c r="DF13" s="70"/>
      <c r="DH13" s="949" t="s">
        <v>160</v>
      </c>
      <c r="DI13" s="949"/>
      <c r="DJ13" s="949"/>
      <c r="DK13" s="949"/>
      <c r="DL13" s="954">
        <f>'Charges ovin'!C17</f>
        <v>0</v>
      </c>
      <c r="DM13" s="954"/>
      <c r="DY13" s="432"/>
      <c r="DZ13" s="961" t="s">
        <v>204</v>
      </c>
      <c r="EA13" s="961"/>
      <c r="EB13" s="961"/>
      <c r="EC13" s="988">
        <f>Calcule!AM5</f>
        <v>0</v>
      </c>
      <c r="EF13" s="949" t="s">
        <v>560</v>
      </c>
      <c r="EG13" s="949"/>
      <c r="EH13" s="949"/>
      <c r="EI13" s="949"/>
      <c r="EJ13" s="978">
        <f>'Charges de structure'!C8+'Charges de structure'!C9</f>
        <v>0</v>
      </c>
      <c r="EK13" s="978"/>
      <c r="EU13" s="926" t="str">
        <f>IF('Grandes cultures'!AA$2=0,"",'Grandes cultures'!AA$2)</f>
        <v/>
      </c>
      <c r="EV13" s="926"/>
      <c r="EW13" s="926"/>
      <c r="EX13" s="926"/>
      <c r="EY13" s="1010">
        <f>'Grandes cultures'!Z3</f>
        <v>0</v>
      </c>
      <c r="EZ13" s="1010"/>
      <c r="FA13" s="926">
        <f>'Grandes cultures'!AF3</f>
        <v>0</v>
      </c>
      <c r="FB13" s="926"/>
      <c r="FC13" s="1007">
        <f>'Grandes cultures'!AC3</f>
        <v>0</v>
      </c>
      <c r="FD13" s="1007"/>
      <c r="FE13" s="1004">
        <f>'Grandes cultures'!AD24</f>
        <v>0</v>
      </c>
      <c r="FF13" s="1004"/>
      <c r="FG13" s="1009">
        <f>'Grandes cultures'!AD33</f>
        <v>0</v>
      </c>
      <c r="FH13" s="1009"/>
      <c r="FI13" s="1249">
        <f>'Grandes cultures'!AD37</f>
        <v>0</v>
      </c>
      <c r="FJ13" s="1249"/>
      <c r="FN13" s="61"/>
      <c r="FO13" s="61"/>
      <c r="FP13" s="61"/>
      <c r="FV13" s="1225"/>
      <c r="FW13" s="1226"/>
      <c r="FX13" s="1226"/>
      <c r="FY13" s="1216"/>
      <c r="FZ13" s="1220"/>
      <c r="GR13" s="1213" t="s">
        <v>561</v>
      </c>
      <c r="GS13" s="1214"/>
      <c r="GT13" s="1214"/>
      <c r="GU13" s="1214"/>
      <c r="GV13" s="1215"/>
      <c r="GW13" s="138"/>
      <c r="GX13" s="138"/>
      <c r="GY13" s="138"/>
      <c r="GZ13" s="138"/>
      <c r="HA13" s="138"/>
      <c r="HB13" s="138"/>
      <c r="HC13" s="234" t="e">
        <f>' Elevage'!F20/' Elevage'!P3</f>
        <v>#DIV/0!</v>
      </c>
      <c r="HD13" s="238" t="e">
        <f>HLOOKUP(Exploitation!B12,Références!D18:N55,5,FALSE)</f>
        <v>#N/A</v>
      </c>
      <c r="HE13" s="226"/>
    </row>
    <row r="14" spans="6:245" ht="9.75" customHeight="1" x14ac:dyDescent="0.5">
      <c r="G14" s="143"/>
      <c r="H14" s="1319" t="s">
        <v>562</v>
      </c>
      <c r="I14" s="1319"/>
      <c r="J14" s="1319" t="str">
        <f>Exploitation!B2</f>
        <v>2023</v>
      </c>
      <c r="K14" s="144"/>
      <c r="AG14" s="1208" t="s">
        <v>76</v>
      </c>
      <c r="AH14" s="1206">
        <f>' Elevage'!C7</f>
        <v>0</v>
      </c>
      <c r="AI14" s="1070">
        <f>' Elevage'!D7</f>
        <v>0</v>
      </c>
      <c r="AJ14" s="1070">
        <f>' Elevage'!E7</f>
        <v>0</v>
      </c>
      <c r="AK14" s="1070">
        <f>' Elevage'!F7</f>
        <v>0</v>
      </c>
      <c r="AL14" s="1070">
        <f>' Elevage'!G7</f>
        <v>0</v>
      </c>
      <c r="AM14" s="1070">
        <f>' Elevage'!H7</f>
        <v>0</v>
      </c>
      <c r="AN14" s="1070">
        <f>' Elevage'!I7</f>
        <v>0</v>
      </c>
      <c r="AO14" s="1070">
        <f>' Elevage'!J7</f>
        <v>0</v>
      </c>
      <c r="AP14" s="1070">
        <f>' Elevage'!K7</f>
        <v>0</v>
      </c>
      <c r="AQ14" s="1070">
        <f>' Elevage'!L7</f>
        <v>0</v>
      </c>
      <c r="AR14" s="1070">
        <f>' Elevage'!M7</f>
        <v>0</v>
      </c>
      <c r="AS14" s="1070">
        <f>' Elevage'!N7</f>
        <v>0</v>
      </c>
      <c r="AT14" s="1072">
        <f>' Elevage'!O7</f>
        <v>0</v>
      </c>
      <c r="AU14" s="1068">
        <f>' Elevage'!P7</f>
        <v>0</v>
      </c>
      <c r="AV14" s="1191" t="str">
        <f>IF(AU14=0,"",AU14/AU7)</f>
        <v/>
      </c>
      <c r="AW14" s="1113" t="s">
        <v>105</v>
      </c>
      <c r="AX14" s="1114"/>
      <c r="AY14" s="1115"/>
      <c r="AZ14" s="1111">
        <f>Calcule!F3+Calcule!F6+Calcule!F9+Calcule!F12+Calcule!F15+Calcule!F18+Calcule!F21+Calcule!F24+Calcule!F27+Calcule!F30</f>
        <v>0</v>
      </c>
      <c r="BA14" s="1089" t="e">
        <f>AZ14/AZ$43</f>
        <v>#DIV/0!</v>
      </c>
      <c r="BB14" s="1099" t="str">
        <f>IF('Bilan complet'!AZ14=0,"",(Calcule!F4+Calcule!F7+Calcule!F10+Calcule!F13+Calcule!F16+Calcule!F19+Calcule!F22+Calcule!F25+Calcule!F28+Calcule!F31)/'Bilan complet'!AZ14)</f>
        <v/>
      </c>
      <c r="BC14" s="1123" t="str">
        <f>IF('Bilan complet'!AZ14=0,"",(Calcule!F5+Calcule!F8+Calcule!F11+Calcule!F14+Calcule!F17+Calcule!F20+Calcule!F23+Calcule!F26+Calcule!F29+Calcule!F32)/(Calcule!F4+Calcule!F7+Calcule!F10+Calcule!F13+Calcule!F16+Calcule!F19+Calcule!F22+Calcule!F25+Calcule!F28+Calcule!F31))</f>
        <v/>
      </c>
      <c r="BD14" s="1101" t="str">
        <f>IF('Bilan complet'!AZ14=0,"",(Calcule!F5+Calcule!F8+Calcule!F11+Calcule!F14+Calcule!F17+Calcule!F20+Calcule!F23+Calcule!F26+Calcule!F29+Calcule!F32)/AZ14)</f>
        <v/>
      </c>
      <c r="BT14" s="389"/>
      <c r="BU14" s="474"/>
      <c r="CF14" s="801" t="s">
        <v>205</v>
      </c>
      <c r="CG14" s="801"/>
      <c r="CH14" s="802">
        <f>'Stock et ration '!B4</f>
        <v>0</v>
      </c>
      <c r="CI14" s="802">
        <f>'Stock et ration '!C4</f>
        <v>0</v>
      </c>
      <c r="CJ14" s="802">
        <f>'Stock et ration '!D4</f>
        <v>0</v>
      </c>
      <c r="CK14" s="802">
        <f>'Stock et ration '!E4</f>
        <v>0</v>
      </c>
      <c r="CL14" s="802">
        <f>'Stock et ration '!F4</f>
        <v>0</v>
      </c>
      <c r="CM14" s="802">
        <f>'Stock et ration '!H4</f>
        <v>0</v>
      </c>
      <c r="CN14" s="802">
        <f>'Stock et ration '!G4</f>
        <v>0</v>
      </c>
      <c r="CO14" s="1275">
        <f>'Stock et ration '!I4</f>
        <v>0</v>
      </c>
      <c r="CP14" s="1275"/>
      <c r="CZ14" s="1203"/>
      <c r="DA14" s="1203"/>
      <c r="DB14" s="1203"/>
      <c r="DC14" s="1203"/>
      <c r="DD14" s="963"/>
      <c r="DE14" s="963"/>
      <c r="DF14" s="70"/>
      <c r="DH14" s="1201" t="s">
        <v>563</v>
      </c>
      <c r="DI14" s="1201"/>
      <c r="DJ14" s="1201"/>
      <c r="DK14" s="1201"/>
      <c r="DL14" s="1198">
        <f>'Charges ovin'!C20+'Charges ovin'!C19</f>
        <v>0</v>
      </c>
      <c r="DM14" s="1198"/>
      <c r="DY14" s="433"/>
      <c r="DZ14" s="962"/>
      <c r="EA14" s="962"/>
      <c r="EB14" s="962"/>
      <c r="EC14" s="989"/>
      <c r="EF14" s="949" t="s">
        <v>564</v>
      </c>
      <c r="EG14" s="949"/>
      <c r="EH14" s="949"/>
      <c r="EI14" s="949"/>
      <c r="EJ14" s="1006">
        <f>'Charges de structure'!C10</f>
        <v>0</v>
      </c>
      <c r="EK14" s="1006"/>
      <c r="EL14" s="497"/>
      <c r="EU14" s="927"/>
      <c r="EV14" s="927"/>
      <c r="EW14" s="927"/>
      <c r="EX14" s="927"/>
      <c r="EY14" s="1011"/>
      <c r="EZ14" s="1011"/>
      <c r="FA14" s="927"/>
      <c r="FB14" s="927"/>
      <c r="FC14" s="1008"/>
      <c r="FD14" s="1008"/>
      <c r="FE14" s="1005"/>
      <c r="FF14" s="1005"/>
      <c r="FG14" s="1005"/>
      <c r="FH14" s="1005"/>
      <c r="FI14" s="1250"/>
      <c r="FJ14" s="1250"/>
      <c r="FN14" s="1241" t="s">
        <v>565</v>
      </c>
      <c r="FO14" s="1242"/>
      <c r="FP14" s="1243"/>
      <c r="FQ14" s="1425">
        <f>FQ4+FQ9</f>
        <v>0</v>
      </c>
      <c r="FR14" s="1426"/>
      <c r="FS14" s="1427"/>
      <c r="FV14" s="1227"/>
      <c r="FW14" s="1228"/>
      <c r="FX14" s="1228"/>
      <c r="FY14" s="1221"/>
      <c r="FZ14" s="1222"/>
      <c r="GR14" s="1213" t="s">
        <v>566</v>
      </c>
      <c r="GS14" s="1214"/>
      <c r="GT14" s="1214"/>
      <c r="GU14" s="1214"/>
      <c r="GV14" s="1215"/>
      <c r="GW14" s="138"/>
      <c r="GX14" s="138"/>
      <c r="GY14" s="138"/>
      <c r="GZ14" s="138"/>
      <c r="HA14" s="138"/>
      <c r="HB14" s="138"/>
      <c r="HC14" s="234" t="e">
        <f>' Elevage'!G20/' Elevage'!F20</f>
        <v>#DIV/0!</v>
      </c>
      <c r="HD14" s="238" t="e">
        <f>HLOOKUP(Exploitation!B12,Références!D18:N55,6,FALSE)</f>
        <v>#N/A</v>
      </c>
      <c r="HE14" s="226"/>
    </row>
    <row r="15" spans="6:245" ht="9.75" customHeight="1" thickBot="1" x14ac:dyDescent="0.55000000000000004">
      <c r="G15" s="144"/>
      <c r="H15" s="1319"/>
      <c r="I15" s="1319"/>
      <c r="J15" s="1319"/>
      <c r="K15" s="144"/>
      <c r="AG15" s="1209"/>
      <c r="AH15" s="1207"/>
      <c r="AI15" s="1071"/>
      <c r="AJ15" s="1071"/>
      <c r="AK15" s="1071"/>
      <c r="AL15" s="1071"/>
      <c r="AM15" s="1071"/>
      <c r="AN15" s="1071"/>
      <c r="AO15" s="1071"/>
      <c r="AP15" s="1071"/>
      <c r="AQ15" s="1071"/>
      <c r="AR15" s="1071"/>
      <c r="AS15" s="1071"/>
      <c r="AT15" s="1073"/>
      <c r="AU15" s="1069"/>
      <c r="AV15" s="1191"/>
      <c r="AW15" s="1116"/>
      <c r="AX15" s="1117"/>
      <c r="AY15" s="1118"/>
      <c r="AZ15" s="1112"/>
      <c r="BA15" s="1084"/>
      <c r="BB15" s="1100"/>
      <c r="BC15" s="1124"/>
      <c r="BD15" s="1102"/>
      <c r="BT15" s="389"/>
      <c r="BU15" s="474"/>
      <c r="CF15" s="801"/>
      <c r="CG15" s="801"/>
      <c r="CH15" s="802"/>
      <c r="CI15" s="802"/>
      <c r="CJ15" s="802"/>
      <c r="CK15" s="802"/>
      <c r="CL15" s="802"/>
      <c r="CM15" s="802"/>
      <c r="CN15" s="802"/>
      <c r="CO15" s="1275"/>
      <c r="CP15" s="1275"/>
      <c r="CZ15" s="949" t="s">
        <v>567</v>
      </c>
      <c r="DA15" s="949"/>
      <c r="DB15" s="949"/>
      <c r="DC15" s="949"/>
      <c r="DD15" s="954">
        <f>IF(Références!K5=0,0,(AR49-AQ25)*Références!K5)</f>
        <v>0</v>
      </c>
      <c r="DE15" s="954"/>
      <c r="DF15" s="70"/>
      <c r="DH15" s="994" t="s">
        <v>384</v>
      </c>
      <c r="DI15" s="994"/>
      <c r="DJ15" s="994"/>
      <c r="DK15" s="994"/>
      <c r="DL15" s="963">
        <f>SUM(DL17:DL20)</f>
        <v>0</v>
      </c>
      <c r="DM15" s="963"/>
      <c r="DY15" s="434"/>
      <c r="DZ15" s="961" t="s">
        <v>568</v>
      </c>
      <c r="EA15" s="961"/>
      <c r="EB15" s="961"/>
      <c r="EC15" s="988">
        <f>Calcule!AM4</f>
        <v>0</v>
      </c>
      <c r="EE15" s="360"/>
      <c r="EF15" s="945" t="s">
        <v>569</v>
      </c>
      <c r="EG15" s="945"/>
      <c r="EH15" s="945"/>
      <c r="EI15" s="945"/>
      <c r="EJ15" s="964">
        <f>'Charges de structure'!C11+'Charges de structure'!C13+'Charges de structure'!C15</f>
        <v>0</v>
      </c>
      <c r="EK15" s="964"/>
      <c r="EU15" s="926" t="str">
        <f>IF('Grandes cultures'!AI$2=0,"",'Grandes cultures'!AI$2)</f>
        <v/>
      </c>
      <c r="EV15" s="926"/>
      <c r="EW15" s="926"/>
      <c r="EX15" s="926"/>
      <c r="EY15" s="1010">
        <f>'Grandes cultures'!AH3</f>
        <v>0</v>
      </c>
      <c r="EZ15" s="1010"/>
      <c r="FA15" s="926">
        <f>'Grandes cultures'!AN3</f>
        <v>0</v>
      </c>
      <c r="FB15" s="926"/>
      <c r="FC15" s="1007">
        <f>'Grandes cultures'!AK3</f>
        <v>0</v>
      </c>
      <c r="FD15" s="1007"/>
      <c r="FE15" s="1004">
        <f>'Grandes cultures'!AL24</f>
        <v>0</v>
      </c>
      <c r="FF15" s="1004"/>
      <c r="FG15" s="1009">
        <f>'Grandes cultures'!AL33</f>
        <v>0</v>
      </c>
      <c r="FH15" s="1009"/>
      <c r="FI15" s="1249">
        <f>'Grandes cultures'!AL37</f>
        <v>0</v>
      </c>
      <c r="FJ15" s="1249"/>
      <c r="FN15" s="1244"/>
      <c r="FO15" s="1012"/>
      <c r="FP15" s="1245"/>
      <c r="FQ15" s="1428"/>
      <c r="FR15" s="1429"/>
      <c r="FS15" s="1430"/>
      <c r="FV15" s="1232" t="s">
        <v>333</v>
      </c>
      <c r="FW15" s="1233"/>
      <c r="FX15" s="1233"/>
      <c r="FY15" s="1235" t="e">
        <f>DD40/(FY9-FI50)</f>
        <v>#DIV/0!</v>
      </c>
      <c r="FZ15" s="1236"/>
      <c r="GR15" s="1213" t="s">
        <v>570</v>
      </c>
      <c r="GS15" s="1214"/>
      <c r="GT15" s="1214"/>
      <c r="GU15" s="1214"/>
      <c r="GV15" s="1215"/>
      <c r="GW15" s="138"/>
      <c r="GX15" s="138"/>
      <c r="GY15" s="138"/>
      <c r="GZ15" s="138"/>
      <c r="HA15" s="138"/>
      <c r="HB15" s="138"/>
      <c r="HC15" s="233" t="e">
        <f>' Elevage'!H20/' Elevage'!G20</f>
        <v>#DIV/0!</v>
      </c>
      <c r="HD15" s="238" t="e">
        <f>HLOOKUP(Exploitation!B12,Références!D18:N55,7,FALSE)</f>
        <v>#N/A</v>
      </c>
      <c r="HE15" s="226"/>
    </row>
    <row r="16" spans="6:245" ht="9.75" customHeight="1" thickBot="1" x14ac:dyDescent="0.55000000000000004">
      <c r="AG16" s="271" t="s">
        <v>571</v>
      </c>
      <c r="AH16" s="269">
        <f>' Elevage'!C8</f>
        <v>0</v>
      </c>
      <c r="AI16" s="266">
        <f>' Elevage'!D8</f>
        <v>0</v>
      </c>
      <c r="AJ16" s="266">
        <f>' Elevage'!E8</f>
        <v>0</v>
      </c>
      <c r="AK16" s="266">
        <f>' Elevage'!F8</f>
        <v>0</v>
      </c>
      <c r="AL16" s="266">
        <f>' Elevage'!G8</f>
        <v>0</v>
      </c>
      <c r="AM16" s="266">
        <f>' Elevage'!H8</f>
        <v>0</v>
      </c>
      <c r="AN16" s="266">
        <f>' Elevage'!I8</f>
        <v>0</v>
      </c>
      <c r="AO16" s="266">
        <f>' Elevage'!J8</f>
        <v>0</v>
      </c>
      <c r="AP16" s="266">
        <f>' Elevage'!K8</f>
        <v>0</v>
      </c>
      <c r="AQ16" s="266">
        <f>' Elevage'!L8</f>
        <v>0</v>
      </c>
      <c r="AR16" s="266">
        <f>' Elevage'!M8</f>
        <v>0</v>
      </c>
      <c r="AS16" s="266">
        <f>' Elevage'!N8</f>
        <v>0</v>
      </c>
      <c r="AT16" s="270">
        <f>' Elevage'!O8</f>
        <v>0</v>
      </c>
      <c r="AU16" s="285">
        <f>SUM(AH16:AT16)</f>
        <v>0</v>
      </c>
      <c r="AV16" s="68"/>
      <c r="AW16" s="1119" t="s">
        <v>106</v>
      </c>
      <c r="AX16" s="801"/>
      <c r="AY16" s="1108"/>
      <c r="AZ16" s="1087">
        <f>Calcule!G3+Calcule!G6+Calcule!G9+Calcule!G12+Calcule!G15+Calcule!G18+Calcule!G21+Calcule!G24+Calcule!G27+Calcule!G30</f>
        <v>0</v>
      </c>
      <c r="BA16" s="1089" t="e">
        <f>AZ16/AZ$43</f>
        <v>#DIV/0!</v>
      </c>
      <c r="BB16" s="1099" t="str">
        <f>IF('Bilan complet'!AZ16=0,"",(Calcule!G4+Calcule!G7+Calcule!G10+Calcule!G13+Calcule!G16+Calcule!G19+Calcule!G22+Calcule!G25+Calcule!G28+Calcule!G31)/'Bilan complet'!AZ16)</f>
        <v/>
      </c>
      <c r="BC16" s="1123" t="str">
        <f>IF('Bilan complet'!AZ16=0,"",(Calcule!G5+Calcule!G8+Calcule!G11+Calcule!G14+Calcule!G17+Calcule!G20+Calcule!G23+Calcule!G26+Calcule!G29+Calcule!G32)/(Calcule!G4+Calcule!G7+Calcule!G10+Calcule!G13+Calcule!G16+Calcule!G19+Calcule!G22+Calcule!G25+Calcule!G28+Calcule!G31))</f>
        <v/>
      </c>
      <c r="BD16" s="1101" t="str">
        <f>IF('Bilan complet'!AZ16=0,"",(Calcule!G5+Calcule!G8+Calcule!G11+Calcule!G14+Calcule!G17+Calcule!G20+Calcule!G23+Calcule!G26+Calcule!G29+Calcule!G32)/AZ16)</f>
        <v/>
      </c>
      <c r="BM16" s="1085" t="s">
        <v>104</v>
      </c>
      <c r="BN16" s="1086"/>
      <c r="BO16" s="1086"/>
      <c r="BP16" s="465">
        <f>SUM(BP17:BP20)</f>
        <v>0</v>
      </c>
      <c r="BQ16" s="466">
        <f>IF(BP16=0,,(BP17*BQ17+BP18*BQ18+BP19*BQ19+BP20*BQ20)/BP16)</f>
        <v>0</v>
      </c>
      <c r="BR16" s="467">
        <f>IF(BP16=0,,BT16/(BP16*BQ16))</f>
        <v>0</v>
      </c>
      <c r="BS16" s="468">
        <f>IF(BP16=0,,BT16/BP16)</f>
        <v>0</v>
      </c>
      <c r="BT16" s="468">
        <f>SUM(BT17:BT20)</f>
        <v>0</v>
      </c>
      <c r="BU16" s="471" t="str">
        <f>IF(BP16=0,"",(BP17*BU17+BP18*BU18+BP19*BU19+BP20*BU20)/BP16)</f>
        <v/>
      </c>
      <c r="CF16" s="801"/>
      <c r="CG16" s="801"/>
      <c r="CH16" s="802"/>
      <c r="CI16" s="802"/>
      <c r="CJ16" s="802"/>
      <c r="CK16" s="802"/>
      <c r="CL16" s="802"/>
      <c r="CM16" s="802"/>
      <c r="CN16" s="802"/>
      <c r="CO16" s="1275"/>
      <c r="CP16" s="1275"/>
      <c r="CZ16" s="1201" t="s">
        <v>572</v>
      </c>
      <c r="DA16" s="1201"/>
      <c r="DB16" s="1201"/>
      <c r="DC16" s="1201"/>
      <c r="DD16" s="1198">
        <f>((AT7-AT9)-(AH7-AH9))*Références!K2+(AM25-AH25)*Références!K4+(AT9-AH9)*Références!K3</f>
        <v>0</v>
      </c>
      <c r="DE16" s="1198"/>
      <c r="DF16" s="70"/>
      <c r="DH16" s="994"/>
      <c r="DI16" s="994"/>
      <c r="DJ16" s="994"/>
      <c r="DK16" s="994"/>
      <c r="DL16" s="963"/>
      <c r="DM16" s="963"/>
      <c r="DY16" s="435"/>
      <c r="DZ16" s="962"/>
      <c r="EA16" s="962"/>
      <c r="EB16" s="962"/>
      <c r="EC16" s="989"/>
      <c r="EE16" s="1273"/>
      <c r="EF16" s="990" t="s">
        <v>268</v>
      </c>
      <c r="EG16" s="990"/>
      <c r="EH16" s="990"/>
      <c r="EI16" s="990"/>
      <c r="EJ16" s="971">
        <f>EJ18+EJ19</f>
        <v>0</v>
      </c>
      <c r="EK16" s="971"/>
      <c r="EU16" s="927"/>
      <c r="EV16" s="927"/>
      <c r="EW16" s="927"/>
      <c r="EX16" s="927"/>
      <c r="EY16" s="1011"/>
      <c r="EZ16" s="1011"/>
      <c r="FA16" s="927"/>
      <c r="FB16" s="927"/>
      <c r="FC16" s="1008"/>
      <c r="FD16" s="1008"/>
      <c r="FE16" s="1266"/>
      <c r="FF16" s="1266"/>
      <c r="FG16" s="1005"/>
      <c r="FH16" s="1005"/>
      <c r="FI16" s="1250"/>
      <c r="FJ16" s="1250"/>
      <c r="FN16" s="1246"/>
      <c r="FO16" s="1247"/>
      <c r="FP16" s="1248"/>
      <c r="FQ16" s="1431"/>
      <c r="FR16" s="1432"/>
      <c r="FS16" s="1433"/>
      <c r="FV16" s="1234"/>
      <c r="FW16" s="1217"/>
      <c r="FX16" s="1217"/>
      <c r="FY16" s="1237"/>
      <c r="FZ16" s="1238"/>
      <c r="GR16" s="1231" t="s">
        <v>573</v>
      </c>
      <c r="GS16" s="1231"/>
      <c r="GT16" s="1231"/>
      <c r="GU16" s="1231"/>
      <c r="GV16" s="1231"/>
      <c r="GW16" s="138"/>
      <c r="GX16" s="138"/>
      <c r="GY16" s="138"/>
      <c r="GZ16" s="138"/>
      <c r="HA16" s="138"/>
      <c r="HB16" s="138"/>
      <c r="HC16" s="233" t="e">
        <f>' Elevage'!I20/' Elevage'!P3</f>
        <v>#DIV/0!</v>
      </c>
      <c r="HD16" s="238" t="e">
        <f>HLOOKUP(Exploitation!B12,Références!D18:N55,8,FALSE)</f>
        <v>#N/A</v>
      </c>
      <c r="HE16" s="226"/>
    </row>
    <row r="17" spans="1:213" ht="9.75" customHeight="1" x14ac:dyDescent="0.5">
      <c r="R17" s="68"/>
      <c r="S17" s="68"/>
      <c r="T17" s="68"/>
      <c r="U17" s="68"/>
      <c r="X17" s="68"/>
      <c r="Y17" s="68"/>
      <c r="Z17" s="68"/>
      <c r="AA17" s="68"/>
      <c r="AB17" s="68"/>
      <c r="AC17" s="68"/>
      <c r="AD17" s="68"/>
      <c r="AE17" s="68"/>
      <c r="AF17" s="68"/>
      <c r="AG17" s="1453" t="s">
        <v>80</v>
      </c>
      <c r="AH17" s="1290">
        <f>' Elevage'!C9</f>
        <v>0</v>
      </c>
      <c r="AI17" s="1065">
        <f>' Elevage'!D9</f>
        <v>0</v>
      </c>
      <c r="AJ17" s="1065">
        <f>' Elevage'!E9</f>
        <v>0</v>
      </c>
      <c r="AK17" s="1065">
        <f>' Elevage'!F9</f>
        <v>0</v>
      </c>
      <c r="AL17" s="1065">
        <f>' Elevage'!G9</f>
        <v>0</v>
      </c>
      <c r="AM17" s="1065">
        <f>' Elevage'!H9</f>
        <v>0</v>
      </c>
      <c r="AN17" s="1065">
        <f>' Elevage'!I9</f>
        <v>0</v>
      </c>
      <c r="AO17" s="1065">
        <f>' Elevage'!J9</f>
        <v>0</v>
      </c>
      <c r="AP17" s="1065">
        <f>' Elevage'!K9</f>
        <v>0</v>
      </c>
      <c r="AQ17" s="1065">
        <f>' Elevage'!L9</f>
        <v>0</v>
      </c>
      <c r="AR17" s="1065">
        <f>' Elevage'!M9</f>
        <v>0</v>
      </c>
      <c r="AS17" s="1065">
        <f>' Elevage'!N9</f>
        <v>0</v>
      </c>
      <c r="AT17" s="1074">
        <f>' Elevage'!O9</f>
        <v>0</v>
      </c>
      <c r="AU17" s="1067">
        <f>' Elevage'!P9</f>
        <v>0</v>
      </c>
      <c r="AV17" s="1185" t="str">
        <f>IF(AU17=0,"",AU17/AU7)</f>
        <v/>
      </c>
      <c r="AW17" s="1119"/>
      <c r="AX17" s="801"/>
      <c r="AY17" s="1108"/>
      <c r="AZ17" s="1098"/>
      <c r="BA17" s="1084"/>
      <c r="BB17" s="1100"/>
      <c r="BC17" s="1124"/>
      <c r="BD17" s="1102"/>
      <c r="BM17" s="1125" t="s">
        <v>549</v>
      </c>
      <c r="BN17" s="1126"/>
      <c r="BO17" s="1127"/>
      <c r="BP17" s="450">
        <f>Calcule!E$3</f>
        <v>0</v>
      </c>
      <c r="BQ17" s="451">
        <f>IF(BP17=0,,Calcule!E$4/BP17)</f>
        <v>0</v>
      </c>
      <c r="BR17" s="453">
        <f>IF(BP17=0,,BT17/(BP17*BQ17))</f>
        <v>0</v>
      </c>
      <c r="BS17" s="452">
        <f>IF(BP17=0,,BT17/BP17)</f>
        <v>0</v>
      </c>
      <c r="BT17" s="452">
        <f>Calcule!E$5</f>
        <v>0</v>
      </c>
      <c r="BU17" s="475">
        <f>Calcule!P21</f>
        <v>0</v>
      </c>
      <c r="CF17" s="801" t="s">
        <v>574</v>
      </c>
      <c r="CG17" s="801"/>
      <c r="CH17" s="802">
        <f>'Stock et ration '!B5</f>
        <v>0</v>
      </c>
      <c r="CI17" s="802">
        <f>'Stock et ration '!C5</f>
        <v>0</v>
      </c>
      <c r="CJ17" s="802">
        <f>'Stock et ration '!D5</f>
        <v>0</v>
      </c>
      <c r="CK17" s="802">
        <f>'Stock et ration '!E5</f>
        <v>0</v>
      </c>
      <c r="CL17" s="802">
        <f>'Stock et ration '!F5</f>
        <v>0</v>
      </c>
      <c r="CM17" s="802">
        <f>'Stock et ration '!H5</f>
        <v>0</v>
      </c>
      <c r="CN17" s="802">
        <f>'Stock et ration '!G5</f>
        <v>0</v>
      </c>
      <c r="CO17" s="1275">
        <f>'Stock et ration '!I5</f>
        <v>0</v>
      </c>
      <c r="CP17" s="1275"/>
      <c r="CZ17" s="1202" t="s">
        <v>204</v>
      </c>
      <c r="DA17" s="1202"/>
      <c r="DB17" s="1202"/>
      <c r="DC17" s="1202"/>
      <c r="DD17" s="1199">
        <f>'Produit ovin'!O11</f>
        <v>0</v>
      </c>
      <c r="DE17" s="1199"/>
      <c r="DF17" s="70"/>
      <c r="DH17" s="949" t="s">
        <v>164</v>
      </c>
      <c r="DI17" s="949"/>
      <c r="DJ17" s="949"/>
      <c r="DK17" s="949"/>
      <c r="DL17" s="954">
        <f>'Charges ovin'!C22</f>
        <v>0</v>
      </c>
      <c r="DM17" s="954"/>
      <c r="EC17" s="78"/>
      <c r="EE17" s="1274"/>
      <c r="EF17" s="994"/>
      <c r="EG17" s="994"/>
      <c r="EH17" s="994"/>
      <c r="EI17" s="994"/>
      <c r="EJ17" s="977"/>
      <c r="EK17" s="977"/>
      <c r="EU17" s="926" t="str">
        <f>IF('Grandes cultures'!AQ$2=0,"",'Grandes cultures'!AQ$2)</f>
        <v/>
      </c>
      <c r="EV17" s="926"/>
      <c r="EW17" s="926"/>
      <c r="EX17" s="926"/>
      <c r="EY17" s="1010">
        <f>'Grandes cultures'!AP3</f>
        <v>0</v>
      </c>
      <c r="EZ17" s="1010"/>
      <c r="FA17" s="926">
        <f>'Grandes cultures'!AV3</f>
        <v>0</v>
      </c>
      <c r="FB17" s="926"/>
      <c r="FC17" s="1007">
        <f>'Grandes cultures'!AS3</f>
        <v>0</v>
      </c>
      <c r="FD17" s="1007"/>
      <c r="FE17" s="1009">
        <f>'Grandes cultures'!AT24</f>
        <v>0</v>
      </c>
      <c r="FF17" s="1009"/>
      <c r="FG17" s="1009">
        <f>'Grandes cultures'!AT33</f>
        <v>0</v>
      </c>
      <c r="FH17" s="1009"/>
      <c r="FI17" s="1249">
        <f>'Grandes cultures'!AT37</f>
        <v>0</v>
      </c>
      <c r="FJ17" s="1249"/>
      <c r="FN17" s="61"/>
      <c r="FO17" s="61"/>
      <c r="FP17" s="61"/>
      <c r="FV17" s="1234"/>
      <c r="FW17" s="1217"/>
      <c r="FX17" s="1217"/>
      <c r="FY17" s="1237"/>
      <c r="FZ17" s="1238"/>
      <c r="GR17" s="1231" t="s">
        <v>575</v>
      </c>
      <c r="GS17" s="1231"/>
      <c r="GT17" s="1231"/>
      <c r="GU17" s="1231"/>
      <c r="GV17" s="1231"/>
      <c r="GW17" s="138"/>
      <c r="GX17" s="138"/>
      <c r="GY17" s="138"/>
      <c r="GZ17" s="138"/>
      <c r="HA17" s="138"/>
      <c r="HB17" s="138"/>
      <c r="HC17" s="235">
        <f>'Stock et ration '!I3</f>
        <v>0</v>
      </c>
      <c r="HD17" s="241" t="e">
        <f>HLOOKUP(Exploitation!B12,Références!D18:N55,9,FALSE)</f>
        <v>#N/A</v>
      </c>
      <c r="HE17" s="226"/>
    </row>
    <row r="18" spans="1:213" ht="9.75" customHeight="1" thickBot="1" x14ac:dyDescent="0.55000000000000004">
      <c r="A18" s="1504" t="s">
        <v>576</v>
      </c>
      <c r="B18" s="1504"/>
      <c r="C18" s="1504"/>
      <c r="D18" s="1504"/>
      <c r="E18" s="1504"/>
      <c r="F18" s="1504"/>
      <c r="G18" s="1504"/>
      <c r="I18" s="1504" t="s">
        <v>577</v>
      </c>
      <c r="J18" s="1504"/>
      <c r="K18" s="1504"/>
      <c r="L18" s="1504"/>
      <c r="M18" s="1504"/>
      <c r="N18" s="1504"/>
      <c r="O18" s="1504"/>
      <c r="P18" s="1504"/>
      <c r="AG18" s="1454"/>
      <c r="AH18" s="1291"/>
      <c r="AI18" s="1066"/>
      <c r="AJ18" s="1066"/>
      <c r="AK18" s="1066"/>
      <c r="AL18" s="1066"/>
      <c r="AM18" s="1066"/>
      <c r="AN18" s="1066"/>
      <c r="AO18" s="1066"/>
      <c r="AP18" s="1066"/>
      <c r="AQ18" s="1066"/>
      <c r="AR18" s="1066"/>
      <c r="AS18" s="1066"/>
      <c r="AT18" s="1292"/>
      <c r="AU18" s="1186"/>
      <c r="AV18" s="1185"/>
      <c r="AW18" s="1119" t="s">
        <v>146</v>
      </c>
      <c r="AX18" s="801"/>
      <c r="AY18" s="1108"/>
      <c r="AZ18" s="1087">
        <f>Calcule!H3+Calcule!H6+Calcule!H9+Calcule!H12+Calcule!H15+Calcule!H18+Calcule!H21+Calcule!H24+Calcule!H27+Calcule!H30</f>
        <v>0</v>
      </c>
      <c r="BA18" s="1089" t="e">
        <f>AZ18/AZ$43</f>
        <v>#DIV/0!</v>
      </c>
      <c r="BB18" s="1099" t="str">
        <f>IF('Bilan complet'!AZ18=0,"",(Calcule!H4+Calcule!H7+Calcule!H10+Calcule!H13+Calcule!H16+Calcule!H19+Calcule!H22+Calcule!H25+Calcule!H28+Calcule!H31)/'Bilan complet'!AZ18)</f>
        <v/>
      </c>
      <c r="BC18" s="1123" t="str">
        <f>IF('Bilan complet'!AZ18=0,"",(Calcule!H5+Calcule!H8+Calcule!H11+Calcule!H14+Calcule!H17+Calcule!H20+Calcule!H23+Calcule!H26+Calcule!H29+Calcule!H32)/(Calcule!H4+Calcule!H7+Calcule!H10+Calcule!H13+Calcule!H16+Calcule!H19+Calcule!H22+Calcule!H25+Calcule!H28+Calcule!H31))</f>
        <v/>
      </c>
      <c r="BD18" s="1101" t="str">
        <f>IF('Bilan complet'!AZ18=0,"",(Calcule!H5+Calcule!H8+Calcule!H11+Calcule!H14+Calcule!H17+Calcule!H20+Calcule!H23+Calcule!H26+Calcule!H29+Calcule!H32)/AZ18)</f>
        <v/>
      </c>
      <c r="BM18" s="1094" t="s">
        <v>551</v>
      </c>
      <c r="BN18" s="1095"/>
      <c r="BO18" s="1096"/>
      <c r="BP18" s="450">
        <f>Calcule!E$6</f>
        <v>0</v>
      </c>
      <c r="BQ18" s="451">
        <f>IF(BP18=0,,Calcule!E$7/BP18)</f>
        <v>0</v>
      </c>
      <c r="BR18" s="453">
        <f>IF(BP18=0,,BT18/(BP18*BQ18))</f>
        <v>0</v>
      </c>
      <c r="BS18" s="452">
        <f>IF(BP18=0,,BT18/BP18)</f>
        <v>0</v>
      </c>
      <c r="BT18" s="452">
        <f>Calcule!E$8</f>
        <v>0</v>
      </c>
      <c r="BU18" s="475">
        <f>Calcule!Q21</f>
        <v>0</v>
      </c>
      <c r="CF18" s="801"/>
      <c r="CG18" s="801"/>
      <c r="CH18" s="802"/>
      <c r="CI18" s="802"/>
      <c r="CJ18" s="802"/>
      <c r="CK18" s="802"/>
      <c r="CL18" s="802"/>
      <c r="CM18" s="802"/>
      <c r="CN18" s="802"/>
      <c r="CO18" s="1275"/>
      <c r="CP18" s="1275"/>
      <c r="CZ18" s="1294"/>
      <c r="DA18" s="1294"/>
      <c r="DB18" s="1294"/>
      <c r="DC18" s="1294"/>
      <c r="DD18" s="1200"/>
      <c r="DE18" s="1200"/>
      <c r="DF18" s="70"/>
      <c r="DH18" s="949" t="s">
        <v>578</v>
      </c>
      <c r="DI18" s="949"/>
      <c r="DJ18" s="949"/>
      <c r="DK18" s="949"/>
      <c r="DL18" s="954">
        <f>'Charges ovin'!C23</f>
        <v>0</v>
      </c>
      <c r="DM18" s="954"/>
      <c r="EF18" s="949" t="s">
        <v>269</v>
      </c>
      <c r="EG18" s="949"/>
      <c r="EH18" s="949"/>
      <c r="EI18" s="949"/>
      <c r="EJ18" s="978">
        <f>'Charges de structure'!C18</f>
        <v>0</v>
      </c>
      <c r="EK18" s="978"/>
      <c r="EU18" s="927"/>
      <c r="EV18" s="927"/>
      <c r="EW18" s="927"/>
      <c r="EX18" s="927"/>
      <c r="EY18" s="1011"/>
      <c r="EZ18" s="1011"/>
      <c r="FA18" s="927"/>
      <c r="FB18" s="927"/>
      <c r="FC18" s="1008"/>
      <c r="FD18" s="1008"/>
      <c r="FE18" s="1005"/>
      <c r="FF18" s="1005"/>
      <c r="FG18" s="1005"/>
      <c r="FH18" s="1005"/>
      <c r="FI18" s="1250"/>
      <c r="FJ18" s="1250"/>
      <c r="FN18" s="61"/>
      <c r="FO18" s="61"/>
      <c r="FP18" s="61"/>
      <c r="FV18" s="1252" t="s">
        <v>579</v>
      </c>
      <c r="FW18" s="1212"/>
      <c r="FX18" s="1212"/>
      <c r="FY18" s="1239" t="str">
        <f>IF(FY9=0,"",(FI50+DD31)/FY9)</f>
        <v/>
      </c>
      <c r="FZ18" s="1240"/>
      <c r="GR18" s="1231" t="s">
        <v>580</v>
      </c>
      <c r="GS18" s="1231"/>
      <c r="GT18" s="1231"/>
      <c r="GU18" s="1231"/>
      <c r="GV18" s="1231"/>
      <c r="GW18" s="138"/>
      <c r="GX18" s="138"/>
      <c r="GY18" s="138"/>
      <c r="GZ18" s="138"/>
      <c r="HA18" s="138"/>
      <c r="HB18" s="138"/>
      <c r="HC18" s="233" t="str">
        <f>'Stock et ration '!L3</f>
        <v/>
      </c>
      <c r="HD18" s="238" t="e">
        <f>HLOOKUP(Exploitation!B12,Références!D18:N55,10,FALSE)</f>
        <v>#N/A</v>
      </c>
      <c r="HE18" s="226"/>
    </row>
    <row r="19" spans="1:213" ht="9.75" customHeight="1" thickBot="1" x14ac:dyDescent="0.55000000000000004">
      <c r="A19" s="1504"/>
      <c r="B19" s="1504"/>
      <c r="C19" s="1504"/>
      <c r="D19" s="1504"/>
      <c r="E19" s="1504"/>
      <c r="F19" s="1504"/>
      <c r="G19" s="1504"/>
      <c r="I19" s="1504"/>
      <c r="J19" s="1504"/>
      <c r="K19" s="1504"/>
      <c r="L19" s="1504"/>
      <c r="M19" s="1504"/>
      <c r="N19" s="1504"/>
      <c r="O19" s="1504"/>
      <c r="P19" s="1504"/>
      <c r="AU19" s="68"/>
      <c r="AW19" s="1120"/>
      <c r="AX19" s="1121"/>
      <c r="AY19" s="1122"/>
      <c r="AZ19" s="1088"/>
      <c r="BA19" s="1097"/>
      <c r="BB19" s="1188"/>
      <c r="BC19" s="1187"/>
      <c r="BD19" s="1103"/>
      <c r="BM19" s="1172" t="s">
        <v>556</v>
      </c>
      <c r="BN19" s="1173"/>
      <c r="BO19" s="1174"/>
      <c r="BP19" s="450">
        <f>Calcule!E$9</f>
        <v>0</v>
      </c>
      <c r="BQ19" s="451">
        <f>IF(BP19=0,,Calcule!E$10/BP19)</f>
        <v>0</v>
      </c>
      <c r="BR19" s="453">
        <f>IF(BP19=0,,BT19/(BP19*BQ19))</f>
        <v>0</v>
      </c>
      <c r="BS19" s="452">
        <f>IF(BP19=0,,BT19/BP19)</f>
        <v>0</v>
      </c>
      <c r="BT19" s="452">
        <f>Calcule!E$11</f>
        <v>0</v>
      </c>
      <c r="BU19" s="475">
        <f>Calcule!R21</f>
        <v>0</v>
      </c>
      <c r="CF19" s="801"/>
      <c r="CG19" s="801"/>
      <c r="CH19" s="802"/>
      <c r="CI19" s="802"/>
      <c r="CJ19" s="802"/>
      <c r="CK19" s="802"/>
      <c r="CL19" s="802"/>
      <c r="CM19" s="802"/>
      <c r="CN19" s="802"/>
      <c r="CO19" s="1275"/>
      <c r="CP19" s="1275"/>
      <c r="CZ19" s="1202" t="s">
        <v>553</v>
      </c>
      <c r="DA19" s="1202"/>
      <c r="DB19" s="1202"/>
      <c r="DC19" s="1202"/>
      <c r="DD19" s="963">
        <f>DD21+DD22+DD24+DD23</f>
        <v>0</v>
      </c>
      <c r="DE19" s="963"/>
      <c r="DF19" s="70"/>
      <c r="DH19" s="949" t="s">
        <v>169</v>
      </c>
      <c r="DI19" s="949"/>
      <c r="DJ19" s="949"/>
      <c r="DK19" s="949"/>
      <c r="DL19" s="954">
        <f>'Charges ovin'!C24</f>
        <v>0</v>
      </c>
      <c r="DM19" s="954"/>
      <c r="DZ19" s="360"/>
      <c r="EA19" s="360"/>
      <c r="EB19" s="360"/>
      <c r="EC19" s="360"/>
      <c r="EE19" s="360"/>
      <c r="EF19" s="945" t="s">
        <v>270</v>
      </c>
      <c r="EG19" s="945"/>
      <c r="EH19" s="945"/>
      <c r="EI19" s="945"/>
      <c r="EJ19" s="964">
        <f>'Charges de structure'!C19</f>
        <v>0</v>
      </c>
      <c r="EK19" s="964"/>
      <c r="EU19" s="926" t="str">
        <f>IF('Grandes cultures'!AY$2=0,"",'Grandes cultures'!AY$2)</f>
        <v/>
      </c>
      <c r="EV19" s="926"/>
      <c r="EW19" s="926"/>
      <c r="EX19" s="926"/>
      <c r="EY19" s="1010">
        <f>'Grandes cultures'!AX3</f>
        <v>0</v>
      </c>
      <c r="EZ19" s="1010"/>
      <c r="FA19" s="926">
        <f>'Grandes cultures'!BD3</f>
        <v>0</v>
      </c>
      <c r="FB19" s="926"/>
      <c r="FC19" s="1007">
        <f>'Grandes cultures'!BA3</f>
        <v>0</v>
      </c>
      <c r="FD19" s="1007"/>
      <c r="FE19" s="1004">
        <f>'Grandes cultures'!BB24</f>
        <v>0</v>
      </c>
      <c r="FF19" s="1004"/>
      <c r="FG19" s="1009">
        <f>'Grandes cultures'!BB33</f>
        <v>0</v>
      </c>
      <c r="FH19" s="1009"/>
      <c r="FI19" s="1249">
        <f>'Grandes cultures'!BB37</f>
        <v>0</v>
      </c>
      <c r="FJ19" s="1249"/>
      <c r="FN19" s="1212" t="s">
        <v>581</v>
      </c>
      <c r="FO19" s="1212"/>
      <c r="FP19" s="1212"/>
      <c r="FQ19" s="1216">
        <f>FI50</f>
        <v>0</v>
      </c>
      <c r="FR19" s="1216"/>
      <c r="FS19" s="1216"/>
      <c r="FV19" s="1252"/>
      <c r="FW19" s="1212"/>
      <c r="FX19" s="1212"/>
      <c r="FY19" s="1239"/>
      <c r="FZ19" s="1240"/>
      <c r="GR19" s="1231" t="s">
        <v>582</v>
      </c>
      <c r="GS19" s="1231"/>
      <c r="GT19" s="1231"/>
      <c r="GU19" s="1231"/>
      <c r="GV19" s="1231"/>
      <c r="GW19" s="136"/>
      <c r="GX19" s="136"/>
      <c r="GY19" s="139"/>
      <c r="GZ19" s="139"/>
      <c r="HA19" s="139"/>
      <c r="HB19" s="139"/>
      <c r="HC19" s="235">
        <f>'Stock et ration '!I5+'Stock et ration '!I6</f>
        <v>0</v>
      </c>
      <c r="HD19" s="241" t="e">
        <f>HLOOKUP(Exploitation!B12,Références!D18:N55,11,FALSE)</f>
        <v>#N/A</v>
      </c>
      <c r="HE19" s="226"/>
    </row>
    <row r="20" spans="1:213" ht="9.75" customHeight="1" thickBot="1" x14ac:dyDescent="0.55000000000000004">
      <c r="A20" s="68"/>
      <c r="B20" s="68"/>
      <c r="C20" s="68"/>
      <c r="D20" s="68"/>
      <c r="E20" s="68"/>
      <c r="AZ20" s="72"/>
      <c r="BM20" s="1143" t="s">
        <v>559</v>
      </c>
      <c r="BN20" s="1144"/>
      <c r="BO20" s="1145"/>
      <c r="BP20" s="461">
        <f>Calcule!E$12</f>
        <v>0</v>
      </c>
      <c r="BQ20" s="462">
        <f>IF(BP20=0,,Calcule!E$13/BP20)</f>
        <v>0</v>
      </c>
      <c r="BR20" s="463">
        <f>IF(BP20=0,,BT20/(BP20*BQ20))</f>
        <v>0</v>
      </c>
      <c r="BS20" s="464">
        <f>IF(BP20=0,,BT20/BP20)</f>
        <v>0</v>
      </c>
      <c r="BT20" s="464">
        <f>Calcule!E$14</f>
        <v>0</v>
      </c>
      <c r="BU20" s="476">
        <f>Calcule!S21</f>
        <v>0</v>
      </c>
      <c r="CF20" s="801" t="s">
        <v>583</v>
      </c>
      <c r="CG20" s="801"/>
      <c r="CH20" s="802">
        <f>'Stock et ration '!B6</f>
        <v>0</v>
      </c>
      <c r="CI20" s="802">
        <f>'Stock et ration '!C6</f>
        <v>0</v>
      </c>
      <c r="CJ20" s="802">
        <f>'Stock et ration '!D6</f>
        <v>0</v>
      </c>
      <c r="CK20" s="802">
        <f>'Stock et ration '!E6</f>
        <v>0</v>
      </c>
      <c r="CL20" s="802">
        <f>'Stock et ration '!F6</f>
        <v>0</v>
      </c>
      <c r="CM20" s="802">
        <f>'Stock et ration '!H6</f>
        <v>0</v>
      </c>
      <c r="CN20" s="802">
        <f>'Stock et ration '!G6</f>
        <v>0</v>
      </c>
      <c r="CO20" s="1275">
        <f>'Stock et ration '!I6</f>
        <v>0</v>
      </c>
      <c r="CP20" s="1275"/>
      <c r="CZ20" s="1203"/>
      <c r="DA20" s="1203"/>
      <c r="DB20" s="1203"/>
      <c r="DC20" s="1203"/>
      <c r="DD20" s="963"/>
      <c r="DE20" s="963"/>
      <c r="DF20" s="70"/>
      <c r="DH20" s="1201" t="s">
        <v>170</v>
      </c>
      <c r="DI20" s="1201"/>
      <c r="DJ20" s="1201"/>
      <c r="DK20" s="1201"/>
      <c r="DL20" s="1198">
        <f>'Charges ovin'!C25</f>
        <v>0</v>
      </c>
      <c r="DM20" s="1198"/>
      <c r="DZ20" s="1012" t="s">
        <v>584</v>
      </c>
      <c r="EA20" s="1012"/>
      <c r="EB20" s="1012"/>
      <c r="EC20" s="1014">
        <f>EC23+EC25+EC27+EC29+EC31+EC33+EC35</f>
        <v>0</v>
      </c>
      <c r="EE20" s="1271"/>
      <c r="EF20" s="1421" t="s">
        <v>271</v>
      </c>
      <c r="EG20" s="1421"/>
      <c r="EH20" s="1421"/>
      <c r="EI20" s="1421"/>
      <c r="EJ20" s="971">
        <f>'Charges de structure'!C20</f>
        <v>0</v>
      </c>
      <c r="EK20" s="971"/>
      <c r="EU20" s="927"/>
      <c r="EV20" s="927"/>
      <c r="EW20" s="927"/>
      <c r="EX20" s="927"/>
      <c r="EY20" s="1011"/>
      <c r="EZ20" s="1011"/>
      <c r="FA20" s="927"/>
      <c r="FB20" s="927"/>
      <c r="FC20" s="1008"/>
      <c r="FD20" s="1008"/>
      <c r="FE20" s="1005"/>
      <c r="FF20" s="1005"/>
      <c r="FG20" s="1005"/>
      <c r="FH20" s="1005"/>
      <c r="FI20" s="1250"/>
      <c r="FJ20" s="1250"/>
      <c r="FN20" s="1212"/>
      <c r="FO20" s="1212"/>
      <c r="FP20" s="1212"/>
      <c r="FQ20" s="1216"/>
      <c r="FR20" s="1216"/>
      <c r="FS20" s="1216"/>
      <c r="FV20" s="1252"/>
      <c r="FW20" s="1212"/>
      <c r="FX20" s="1212"/>
      <c r="FY20" s="1239"/>
      <c r="FZ20" s="1240"/>
      <c r="GR20" s="1231" t="s">
        <v>585</v>
      </c>
      <c r="GS20" s="1231"/>
      <c r="GT20" s="1231"/>
      <c r="GU20" s="1231"/>
      <c r="GV20" s="1231"/>
      <c r="GW20" s="138"/>
      <c r="GX20" s="138"/>
      <c r="GY20" s="138"/>
      <c r="GZ20" s="138"/>
      <c r="HA20" s="138"/>
      <c r="HB20" s="138"/>
      <c r="HC20" s="233" t="str">
        <f>'Stock et ration '!L5</f>
        <v/>
      </c>
      <c r="HD20" s="238" t="e">
        <f>HLOOKUP(Exploitation!B12,Références!D18:N55,12,FALSE)</f>
        <v>#N/A</v>
      </c>
      <c r="HE20" s="226"/>
    </row>
    <row r="21" spans="1:213" ht="9.75" customHeight="1" thickBot="1" x14ac:dyDescent="0.55000000000000004">
      <c r="K21" s="68"/>
      <c r="AN21" s="272"/>
      <c r="AW21" s="1104" t="s">
        <v>140</v>
      </c>
      <c r="AX21" s="1105"/>
      <c r="AY21" s="1106"/>
      <c r="AZ21" s="1109">
        <f>Calcule!P5</f>
        <v>0</v>
      </c>
      <c r="BA21" s="1083" t="e">
        <f>AZ21/AZ$43</f>
        <v>#DIV/0!</v>
      </c>
      <c r="BB21" s="1090"/>
      <c r="BC21" s="1092"/>
      <c r="BD21" s="1189"/>
      <c r="BP21" s="408"/>
      <c r="BT21" s="389"/>
      <c r="BU21" s="474"/>
      <c r="CF21" s="801"/>
      <c r="CG21" s="801"/>
      <c r="CH21" s="802"/>
      <c r="CI21" s="802"/>
      <c r="CJ21" s="802"/>
      <c r="CK21" s="802"/>
      <c r="CL21" s="802"/>
      <c r="CM21" s="802"/>
      <c r="CN21" s="802"/>
      <c r="CO21" s="1275"/>
      <c r="CP21" s="1275"/>
      <c r="CZ21" s="949" t="s">
        <v>121</v>
      </c>
      <c r="DA21" s="949"/>
      <c r="DB21" s="949"/>
      <c r="DC21" s="949"/>
      <c r="DD21" s="1197">
        <f>'Produit ovin'!O4</f>
        <v>0</v>
      </c>
      <c r="DE21" s="1197"/>
      <c r="DF21" s="70"/>
      <c r="DH21" s="994" t="s">
        <v>173</v>
      </c>
      <c r="DI21" s="994"/>
      <c r="DJ21" s="994"/>
      <c r="DK21" s="994"/>
      <c r="DL21" s="963">
        <f>'Charges ovin'!C27</f>
        <v>0</v>
      </c>
      <c r="DM21" s="963"/>
      <c r="DZ21" s="1012"/>
      <c r="EA21" s="1012"/>
      <c r="EB21" s="1012"/>
      <c r="EC21" s="1014"/>
      <c r="EE21" s="1272"/>
      <c r="EF21" s="1422"/>
      <c r="EG21" s="1422"/>
      <c r="EH21" s="1422"/>
      <c r="EI21" s="1422"/>
      <c r="EJ21" s="972"/>
      <c r="EK21" s="972"/>
      <c r="EU21" s="926" t="str">
        <f>IF('Grandes cultures'!BG$2=0,"",'Grandes cultures'!BG$2)</f>
        <v/>
      </c>
      <c r="EV21" s="926"/>
      <c r="EW21" s="926"/>
      <c r="EX21" s="926"/>
      <c r="EY21" s="1010">
        <f>'Grandes cultures'!BF3</f>
        <v>0</v>
      </c>
      <c r="EZ21" s="1010"/>
      <c r="FA21" s="926">
        <f>'Grandes cultures'!BL3</f>
        <v>0</v>
      </c>
      <c r="FB21" s="926"/>
      <c r="FC21" s="1007">
        <f>'Grandes cultures'!BI3</f>
        <v>0</v>
      </c>
      <c r="FD21" s="1007"/>
      <c r="FE21" s="1004">
        <f>'Grandes cultures'!BJ24</f>
        <v>0</v>
      </c>
      <c r="FF21" s="1004"/>
      <c r="FG21" s="1009">
        <f>'Grandes cultures'!BJ33</f>
        <v>0</v>
      </c>
      <c r="FH21" s="1009"/>
      <c r="FI21" s="1249">
        <f>'Grandes cultures'!BJ37</f>
        <v>0</v>
      </c>
      <c r="FJ21" s="1249"/>
      <c r="FN21" s="1212"/>
      <c r="FO21" s="1212"/>
      <c r="FP21" s="1212"/>
      <c r="FQ21" s="1216"/>
      <c r="FR21" s="1216"/>
      <c r="FS21" s="1216"/>
      <c r="FV21" s="1252" t="s">
        <v>410</v>
      </c>
      <c r="FW21" s="1212"/>
      <c r="FX21" s="1212"/>
      <c r="FY21" s="1237" t="str">
        <f>IF(FY9=0,"",FQ30/FY9)</f>
        <v/>
      </c>
      <c r="FZ21" s="1238"/>
      <c r="GR21" s="1231" t="s">
        <v>586</v>
      </c>
      <c r="GS21" s="1231"/>
      <c r="GT21" s="1231"/>
      <c r="GU21" s="1231"/>
      <c r="GV21" s="1231"/>
      <c r="GW21" s="416"/>
      <c r="GX21" s="416"/>
      <c r="GY21" s="416"/>
      <c r="GZ21" s="416"/>
      <c r="HA21" s="416"/>
      <c r="HB21" s="416"/>
      <c r="HC21" s="411" t="e">
        <f>CL48</f>
        <v>#DIV/0!</v>
      </c>
      <c r="HD21" s="238"/>
      <c r="HE21" s="226"/>
    </row>
    <row r="22" spans="1:213" ht="9.75" customHeight="1" thickBot="1" x14ac:dyDescent="0.55000000000000004">
      <c r="A22" s="802" t="s">
        <v>587</v>
      </c>
      <c r="B22" s="802"/>
      <c r="C22" s="845">
        <f>Exploitation!B15</f>
        <v>0</v>
      </c>
      <c r="E22" s="802" t="s">
        <v>334</v>
      </c>
      <c r="F22" s="802"/>
      <c r="G22" s="845">
        <f>Exploitation!B16</f>
        <v>0</v>
      </c>
      <c r="L22" s="495"/>
      <c r="M22" s="845" t="s">
        <v>588</v>
      </c>
      <c r="N22" s="845"/>
      <c r="O22" s="846" t="s">
        <v>589</v>
      </c>
      <c r="P22" s="845"/>
      <c r="AG22" s="760"/>
      <c r="AH22" s="1018" t="s">
        <v>82</v>
      </c>
      <c r="AI22" s="1192" t="s">
        <v>196</v>
      </c>
      <c r="AJ22" s="1192" t="s">
        <v>590</v>
      </c>
      <c r="AK22" s="1192" t="s">
        <v>197</v>
      </c>
      <c r="AL22" s="1192" t="s">
        <v>83</v>
      </c>
      <c r="AM22" s="1445" t="s">
        <v>199</v>
      </c>
      <c r="AN22" s="272"/>
      <c r="AO22" s="760"/>
      <c r="AP22" s="760"/>
      <c r="AQ22" s="1018" t="s">
        <v>82</v>
      </c>
      <c r="AR22" s="1192" t="s">
        <v>591</v>
      </c>
      <c r="AS22" s="1192" t="s">
        <v>85</v>
      </c>
      <c r="AT22" s="1192" t="s">
        <v>84</v>
      </c>
      <c r="AU22" s="1192" t="s">
        <v>99</v>
      </c>
      <c r="AV22" s="1470" t="s">
        <v>87</v>
      </c>
      <c r="AW22" s="1107"/>
      <c r="AX22" s="801"/>
      <c r="AY22" s="1108"/>
      <c r="AZ22" s="1110"/>
      <c r="BA22" s="1084"/>
      <c r="BB22" s="1091"/>
      <c r="BC22" s="1093"/>
      <c r="BD22" s="1190"/>
      <c r="BP22" s="408"/>
      <c r="BT22" s="389"/>
      <c r="BU22" s="474"/>
      <c r="CF22" s="801"/>
      <c r="CG22" s="801"/>
      <c r="CH22" s="802"/>
      <c r="CI22" s="802"/>
      <c r="CJ22" s="802"/>
      <c r="CK22" s="802"/>
      <c r="CL22" s="802"/>
      <c r="CM22" s="802"/>
      <c r="CN22" s="802"/>
      <c r="CO22" s="1275"/>
      <c r="CP22" s="1275"/>
      <c r="CZ22" s="949" t="s">
        <v>123</v>
      </c>
      <c r="DA22" s="949"/>
      <c r="DB22" s="949"/>
      <c r="DC22" s="949"/>
      <c r="DD22" s="1197">
        <f>'Produit ovin'!O6</f>
        <v>0</v>
      </c>
      <c r="DE22" s="1197"/>
      <c r="DF22" s="70"/>
      <c r="DH22" s="1382"/>
      <c r="DI22" s="1382"/>
      <c r="DJ22" s="1382"/>
      <c r="DK22" s="1382"/>
      <c r="DL22" s="1200"/>
      <c r="DM22" s="1200"/>
      <c r="DZ22" s="1013"/>
      <c r="EA22" s="1013"/>
      <c r="EB22" s="1013"/>
      <c r="EC22" s="1015"/>
      <c r="EE22" s="1269"/>
      <c r="EF22" s="990" t="s">
        <v>274</v>
      </c>
      <c r="EG22" s="990"/>
      <c r="EH22" s="990"/>
      <c r="EI22" s="990"/>
      <c r="EJ22" s="971">
        <f>EJ24+EJ25</f>
        <v>0</v>
      </c>
      <c r="EK22" s="971"/>
      <c r="EU22" s="927"/>
      <c r="EV22" s="927"/>
      <c r="EW22" s="927"/>
      <c r="EX22" s="927"/>
      <c r="EY22" s="1011"/>
      <c r="EZ22" s="1011"/>
      <c r="FA22" s="927"/>
      <c r="FB22" s="927"/>
      <c r="FC22" s="1008"/>
      <c r="FD22" s="1008"/>
      <c r="FE22" s="1005"/>
      <c r="FF22" s="1005"/>
      <c r="FG22" s="1005"/>
      <c r="FH22" s="1005"/>
      <c r="FI22" s="1250"/>
      <c r="FJ22" s="1250"/>
      <c r="FN22" s="61"/>
      <c r="FO22" s="61"/>
      <c r="FP22" s="61"/>
      <c r="FV22" s="1252"/>
      <c r="FW22" s="1212"/>
      <c r="FX22" s="1212"/>
      <c r="FY22" s="1237"/>
      <c r="FZ22" s="1238"/>
      <c r="GR22" s="1213" t="s">
        <v>592</v>
      </c>
      <c r="GS22" s="1214"/>
      <c r="GT22" s="1214"/>
      <c r="GU22" s="1214"/>
      <c r="GV22" s="1215"/>
      <c r="GW22" s="416"/>
      <c r="GX22" s="416"/>
      <c r="GY22" s="416"/>
      <c r="GZ22" s="416"/>
      <c r="HA22" s="416"/>
      <c r="HB22" s="416"/>
      <c r="HC22" s="411" t="e">
        <f>'Bilan complet'!BD43</f>
        <v>#DIV/0!</v>
      </c>
      <c r="HD22" s="239" t="e">
        <f>HLOOKUP(Exploitation!B12,Références!D18:N55,13,FALSE)</f>
        <v>#N/A</v>
      </c>
      <c r="HE22" s="226"/>
    </row>
    <row r="23" spans="1:213" ht="9.75" customHeight="1" x14ac:dyDescent="0.5">
      <c r="A23" s="802"/>
      <c r="B23" s="802"/>
      <c r="C23" s="845"/>
      <c r="E23" s="802"/>
      <c r="F23" s="802"/>
      <c r="G23" s="845"/>
      <c r="L23" s="496"/>
      <c r="M23" s="845"/>
      <c r="N23" s="845"/>
      <c r="O23" s="845"/>
      <c r="P23" s="845"/>
      <c r="AG23" s="760"/>
      <c r="AH23" s="1019"/>
      <c r="AI23" s="1193"/>
      <c r="AJ23" s="1193"/>
      <c r="AK23" s="1193"/>
      <c r="AL23" s="1193"/>
      <c r="AM23" s="1446"/>
      <c r="AO23" s="760"/>
      <c r="AP23" s="760"/>
      <c r="AQ23" s="1019"/>
      <c r="AR23" s="1193"/>
      <c r="AS23" s="1193"/>
      <c r="AT23" s="1193"/>
      <c r="AU23" s="1193"/>
      <c r="AV23" s="1471"/>
      <c r="AW23" s="1075" t="s">
        <v>147</v>
      </c>
      <c r="AX23" s="1076"/>
      <c r="AY23" s="1077"/>
      <c r="AZ23" s="1466">
        <f>Calcule!P6</f>
        <v>0</v>
      </c>
      <c r="BA23" s="1089" t="e">
        <f>AZ23/AZ$43</f>
        <v>#DIV/0!</v>
      </c>
      <c r="BB23" s="1081"/>
      <c r="BC23" s="1458"/>
      <c r="BD23" s="1456"/>
      <c r="BM23" s="1085" t="s">
        <v>105</v>
      </c>
      <c r="BN23" s="1086"/>
      <c r="BO23" s="1086"/>
      <c r="BP23" s="465">
        <f>SUM(BP24:BP27)</f>
        <v>0</v>
      </c>
      <c r="BQ23" s="466">
        <f>IF(BP23=0,,(BP24*BQ24+BP25*BQ25+BP26*BQ26+BP27*BQ27)/BP23)</f>
        <v>0</v>
      </c>
      <c r="BR23" s="467">
        <f>IF(BP23=0,,BT23/(BP23*BQ23))</f>
        <v>0</v>
      </c>
      <c r="BS23" s="468">
        <f>IF(BP23=0,,BT23/BP23)</f>
        <v>0</v>
      </c>
      <c r="BT23" s="468">
        <f>SUM(BT24:BT27)</f>
        <v>0</v>
      </c>
      <c r="BU23" s="471" t="str">
        <f>IF(BP23=0,"",(BP24*BU24+BP25*BU25+BP26*BU26+BP27*BU27)/BP23)</f>
        <v/>
      </c>
      <c r="CZ23" s="1420" t="s">
        <v>231</v>
      </c>
      <c r="DA23" s="1420"/>
      <c r="DB23" s="1420"/>
      <c r="DC23" s="1420"/>
      <c r="DD23" s="954">
        <f>'Produit ovin'!O8</f>
        <v>0</v>
      </c>
      <c r="DE23" s="954"/>
      <c r="DF23" s="70"/>
      <c r="DH23" s="994" t="s">
        <v>241</v>
      </c>
      <c r="DI23" s="994"/>
      <c r="DJ23" s="994"/>
      <c r="DK23" s="994"/>
      <c r="DL23" s="963">
        <f>'Charges ovin'!C37</f>
        <v>0</v>
      </c>
      <c r="DM23" s="963"/>
      <c r="DY23" s="1423"/>
      <c r="DZ23" s="961" t="s">
        <v>593</v>
      </c>
      <c r="EA23" s="961"/>
      <c r="EB23" s="961"/>
      <c r="EC23" s="988">
        <f>Calcule!AN15</f>
        <v>0</v>
      </c>
      <c r="EE23" s="1270"/>
      <c r="EF23" s="994"/>
      <c r="EG23" s="994"/>
      <c r="EH23" s="994"/>
      <c r="EI23" s="994"/>
      <c r="EJ23" s="977"/>
      <c r="EK23" s="977"/>
      <c r="FN23" s="61"/>
      <c r="FO23" s="61"/>
      <c r="FP23" s="61"/>
      <c r="FV23" s="1252"/>
      <c r="FW23" s="1212"/>
      <c r="FX23" s="1212"/>
      <c r="FY23" s="1237"/>
      <c r="FZ23" s="1238"/>
      <c r="GR23" s="1231" t="s">
        <v>594</v>
      </c>
      <c r="GS23" s="1231"/>
      <c r="GT23" s="1231"/>
      <c r="GU23" s="1231"/>
      <c r="GV23" s="1231"/>
      <c r="GW23" s="136"/>
      <c r="GX23" s="136"/>
      <c r="GY23" s="139"/>
      <c r="GZ23" s="139"/>
      <c r="HA23" s="139"/>
      <c r="HB23" s="139"/>
      <c r="HC23" s="235">
        <f>BQ44</f>
        <v>0</v>
      </c>
      <c r="HD23" s="242" t="e">
        <f>HLOOKUP(Exploitation!B12,Références!D18:N55,14,FALSE)</f>
        <v>#N/A</v>
      </c>
      <c r="HE23" s="226"/>
    </row>
    <row r="24" spans="1:213" ht="9.75" customHeight="1" thickBot="1" x14ac:dyDescent="0.65">
      <c r="I24" s="855" t="s">
        <v>595</v>
      </c>
      <c r="J24" s="855"/>
      <c r="K24" s="855"/>
      <c r="L24" s="855"/>
      <c r="M24" s="1493" t="e">
        <f>HC13</f>
        <v>#DIV/0!</v>
      </c>
      <c r="N24" s="845"/>
      <c r="O24" s="1490" t="e">
        <f>HD13</f>
        <v>#N/A</v>
      </c>
      <c r="P24" s="802"/>
      <c r="AG24" s="760"/>
      <c r="AH24" s="1020"/>
      <c r="AI24" s="1194"/>
      <c r="AJ24" s="1194"/>
      <c r="AK24" s="1194"/>
      <c r="AL24" s="1194"/>
      <c r="AM24" s="1447"/>
      <c r="AO24" s="760"/>
      <c r="AP24" s="760"/>
      <c r="AQ24" s="1020"/>
      <c r="AR24" s="1194"/>
      <c r="AS24" s="1194"/>
      <c r="AT24" s="1194"/>
      <c r="AU24" s="1194"/>
      <c r="AV24" s="1472"/>
      <c r="AW24" s="1078"/>
      <c r="AX24" s="1079"/>
      <c r="AY24" s="1080"/>
      <c r="AZ24" s="1467"/>
      <c r="BA24" s="1468"/>
      <c r="BB24" s="1082"/>
      <c r="BC24" s="1459"/>
      <c r="BD24" s="1457"/>
      <c r="BM24" s="1125" t="s">
        <v>549</v>
      </c>
      <c r="BN24" s="1126"/>
      <c r="BO24" s="1127"/>
      <c r="BP24" s="450">
        <f>Calcule!F$3</f>
        <v>0</v>
      </c>
      <c r="BQ24" s="451">
        <f>IF(BP24=0,,Calcule!F$4/BP24)</f>
        <v>0</v>
      </c>
      <c r="BR24" s="453">
        <f>IF(BP24=0,,BT24/(BP24*BQ24))</f>
        <v>0</v>
      </c>
      <c r="BS24" s="452">
        <f>IF(BP24=0,,BT24/BP24)</f>
        <v>0</v>
      </c>
      <c r="BT24" s="452">
        <f>Calcule!F$5</f>
        <v>0</v>
      </c>
      <c r="BU24" s="475">
        <f>Calcule!P22</f>
        <v>0</v>
      </c>
      <c r="CZ24" s="1201" t="s">
        <v>596</v>
      </c>
      <c r="DA24" s="1201"/>
      <c r="DB24" s="1201"/>
      <c r="DC24" s="1201"/>
      <c r="DD24" s="1419">
        <f>'Produit ovin'!O9</f>
        <v>0</v>
      </c>
      <c r="DE24" s="1419"/>
      <c r="DF24" s="70"/>
      <c r="DH24" s="1382"/>
      <c r="DI24" s="1382"/>
      <c r="DJ24" s="1382"/>
      <c r="DK24" s="1382"/>
      <c r="DL24" s="1200"/>
      <c r="DM24" s="1200"/>
      <c r="DY24" s="1424"/>
      <c r="DZ24" s="962"/>
      <c r="EA24" s="962"/>
      <c r="EB24" s="962"/>
      <c r="EC24" s="989"/>
      <c r="EF24" s="949" t="s">
        <v>597</v>
      </c>
      <c r="EG24" s="949"/>
      <c r="EH24" s="949"/>
      <c r="EI24" s="949"/>
      <c r="EJ24" s="978">
        <f>'Charges de structure'!C24</f>
        <v>0</v>
      </c>
      <c r="EK24" s="978"/>
      <c r="EU24" s="347"/>
      <c r="EV24" s="348"/>
      <c r="EW24" s="348"/>
      <c r="EX24" s="348"/>
      <c r="EY24" s="348"/>
      <c r="EZ24" s="348"/>
      <c r="FA24" s="348"/>
      <c r="FB24" s="348"/>
      <c r="FC24" s="348"/>
      <c r="FD24" s="348"/>
      <c r="FE24" s="348"/>
      <c r="FF24" s="348"/>
      <c r="FG24" s="348"/>
      <c r="FH24" s="348"/>
      <c r="FI24" s="348"/>
      <c r="FJ24" s="348"/>
      <c r="FN24" s="1217" t="s">
        <v>598</v>
      </c>
      <c r="FO24" s="1217"/>
      <c r="FP24" s="1217"/>
      <c r="FQ24" s="1216">
        <f>EJ39</f>
        <v>0</v>
      </c>
      <c r="FR24" s="1216"/>
      <c r="FS24" s="1216"/>
      <c r="FV24" s="1252" t="s">
        <v>411</v>
      </c>
      <c r="FW24" s="1212"/>
      <c r="FX24" s="1212"/>
      <c r="FY24" s="1237" t="str">
        <f>IF(FQ30=0,"",FN36/FQ30)</f>
        <v/>
      </c>
      <c r="FZ24" s="1238"/>
      <c r="GR24" s="1231" t="s">
        <v>599</v>
      </c>
      <c r="GS24" s="1231"/>
      <c r="GT24" s="1231"/>
      <c r="GU24" s="1231"/>
      <c r="GV24" s="1231"/>
      <c r="GW24" s="138"/>
      <c r="GX24" s="138"/>
      <c r="GY24" s="138"/>
      <c r="GZ24" s="138"/>
      <c r="HA24" s="138"/>
      <c r="HB24" s="138"/>
      <c r="HC24" s="233" t="str">
        <f>IF(AZ43=0,"",(AZ26+AZ28)/AZ43)</f>
        <v/>
      </c>
      <c r="HD24" s="238" t="e">
        <f>HLOOKUP(Exploitation!B12,Références!D18:N55,15,FALSE)</f>
        <v>#N/A</v>
      </c>
      <c r="HE24" s="226"/>
    </row>
    <row r="25" spans="1:213" ht="9.75" customHeight="1" thickBot="1" x14ac:dyDescent="0.55000000000000004">
      <c r="A25" s="802" t="s">
        <v>600</v>
      </c>
      <c r="B25" s="802"/>
      <c r="C25" s="1505">
        <f>Exploitation!E16</f>
        <v>0</v>
      </c>
      <c r="E25" s="802" t="s">
        <v>601</v>
      </c>
      <c r="F25" s="802"/>
      <c r="G25" s="1505">
        <f>Exploitation!F17+Exploitation!F22+Exploitation!F27</f>
        <v>0</v>
      </c>
      <c r="I25" s="855"/>
      <c r="J25" s="855"/>
      <c r="K25" s="855"/>
      <c r="L25" s="855"/>
      <c r="M25" s="1479"/>
      <c r="N25" s="845"/>
      <c r="O25" s="802"/>
      <c r="P25" s="802"/>
      <c r="AG25" s="1331" t="s">
        <v>94</v>
      </c>
      <c r="AH25" s="1049">
        <f>' Elevage'!P12</f>
        <v>0</v>
      </c>
      <c r="AI25" s="917">
        <f>' Elevage'!Q12</f>
        <v>0</v>
      </c>
      <c r="AJ25" s="917">
        <f>' Elevage'!R12</f>
        <v>0</v>
      </c>
      <c r="AK25" s="917">
        <f>' Elevage'!S12</f>
        <v>0</v>
      </c>
      <c r="AL25" s="917">
        <f>' Elevage'!T12</f>
        <v>0</v>
      </c>
      <c r="AM25" s="1039">
        <f>' Elevage'!U12</f>
        <v>0</v>
      </c>
      <c r="AO25" s="1327" t="s">
        <v>93</v>
      </c>
      <c r="AP25" s="1328"/>
      <c r="AQ25" s="1047">
        <f>' Elevage'!E12</f>
        <v>0</v>
      </c>
      <c r="AR25" s="830">
        <f>' Elevage'!L12</f>
        <v>0</v>
      </c>
      <c r="AS25" s="830">
        <f>' Elevage'!K12</f>
        <v>0</v>
      </c>
      <c r="AT25" s="830">
        <f>' Elevage'!I12</f>
        <v>0</v>
      </c>
      <c r="AU25" s="830">
        <f>' Elevage'!H12</f>
        <v>0</v>
      </c>
      <c r="AV25" s="1473">
        <f>' Elevage'!M12</f>
        <v>0</v>
      </c>
      <c r="BM25" s="1094" t="s">
        <v>551</v>
      </c>
      <c r="BN25" s="1095"/>
      <c r="BO25" s="1096"/>
      <c r="BP25" s="450">
        <f>Calcule!F$6</f>
        <v>0</v>
      </c>
      <c r="BQ25" s="451">
        <f>IF(BP25=0,,Calcule!F$7/BP25)</f>
        <v>0</v>
      </c>
      <c r="BR25" s="453">
        <f>IF(BP25=0,,BT25/(BP25*BQ25))</f>
        <v>0</v>
      </c>
      <c r="BS25" s="452">
        <f>IF(BP25=0,,BT25/BP25)</f>
        <v>0</v>
      </c>
      <c r="BT25" s="452">
        <f>Calcule!F$8</f>
        <v>0</v>
      </c>
      <c r="BU25" s="475">
        <f>Calcule!Q22</f>
        <v>0</v>
      </c>
      <c r="CZ25" s="996" t="s">
        <v>602</v>
      </c>
      <c r="DA25" s="996"/>
      <c r="DB25" s="996"/>
      <c r="DC25" s="996"/>
      <c r="DD25" s="882">
        <f>DD19+DD17+DD13+DD6+DD11</f>
        <v>0</v>
      </c>
      <c r="DE25" s="882"/>
      <c r="DF25" s="70"/>
      <c r="DH25" s="994" t="s">
        <v>603</v>
      </c>
      <c r="DI25" s="994"/>
      <c r="DJ25" s="994"/>
      <c r="DK25" s="994"/>
      <c r="DL25" s="963">
        <f>'Charges ovin'!C41</f>
        <v>0</v>
      </c>
      <c r="DM25" s="963"/>
      <c r="DY25" s="422"/>
      <c r="DZ25" s="961" t="s">
        <v>186</v>
      </c>
      <c r="EA25" s="961"/>
      <c r="EB25" s="961"/>
      <c r="EC25" s="988">
        <f>Calcule!AN14</f>
        <v>0</v>
      </c>
      <c r="EE25" s="360"/>
      <c r="EF25" s="945" t="s">
        <v>604</v>
      </c>
      <c r="EG25" s="945"/>
      <c r="EH25" s="945"/>
      <c r="EI25" s="945"/>
      <c r="EJ25" s="964">
        <f>'Charges de structure'!C25</f>
        <v>0</v>
      </c>
      <c r="EK25" s="964"/>
      <c r="FN25" s="1217"/>
      <c r="FO25" s="1217"/>
      <c r="FP25" s="1217"/>
      <c r="FQ25" s="1216"/>
      <c r="FR25" s="1216"/>
      <c r="FS25" s="1216"/>
      <c r="FV25" s="1252"/>
      <c r="FW25" s="1212"/>
      <c r="FX25" s="1212"/>
      <c r="FY25" s="1237"/>
      <c r="FZ25" s="1238"/>
      <c r="GA25" s="260"/>
      <c r="GB25" s="260"/>
      <c r="GC25" s="260"/>
      <c r="GD25" s="260"/>
      <c r="GE25" s="260"/>
      <c r="GF25" s="260"/>
      <c r="GG25" s="260"/>
      <c r="GH25" s="260"/>
      <c r="GI25" s="260"/>
      <c r="GJ25" s="260"/>
      <c r="GK25" s="260"/>
      <c r="GL25" s="260"/>
      <c r="GM25" s="260"/>
      <c r="GN25" s="260"/>
      <c r="GO25" s="260"/>
      <c r="GP25" s="260"/>
      <c r="GR25" s="1360" t="s">
        <v>605</v>
      </c>
      <c r="GS25" s="1360"/>
      <c r="GT25" s="1360"/>
      <c r="GU25" s="1360"/>
      <c r="GV25" s="1360"/>
      <c r="GW25" s="416"/>
      <c r="GX25" s="416"/>
      <c r="GY25" s="416"/>
      <c r="GZ25" s="416"/>
      <c r="HA25" s="416"/>
      <c r="HB25" s="416"/>
      <c r="HC25" s="412" t="e">
        <f>DD25/' Elevage'!P3</f>
        <v>#DIV/0!</v>
      </c>
      <c r="HD25" s="240" t="e">
        <f>HLOOKUP(Exploitation!B12,Références!D18:N55,22,FALSE)</f>
        <v>#N/A</v>
      </c>
      <c r="HE25" s="226"/>
    </row>
    <row r="26" spans="1:213" ht="9.75" customHeight="1" thickBot="1" x14ac:dyDescent="0.55000000000000004">
      <c r="A26" s="802"/>
      <c r="B26" s="802"/>
      <c r="C26" s="1505"/>
      <c r="E26" s="802"/>
      <c r="F26" s="802"/>
      <c r="G26" s="1505"/>
      <c r="I26" s="855" t="s">
        <v>79</v>
      </c>
      <c r="J26" s="855"/>
      <c r="K26" s="855"/>
      <c r="L26" s="855"/>
      <c r="M26" s="1493" t="e">
        <f>HC14</f>
        <v>#DIV/0!</v>
      </c>
      <c r="N26" s="845"/>
      <c r="O26" s="1490" t="e">
        <f>HD14</f>
        <v>#N/A</v>
      </c>
      <c r="P26" s="802"/>
      <c r="AG26" s="1332"/>
      <c r="AH26" s="1048"/>
      <c r="AI26" s="831"/>
      <c r="AJ26" s="831"/>
      <c r="AK26" s="831"/>
      <c r="AL26" s="831"/>
      <c r="AM26" s="1040"/>
      <c r="AO26" s="1329"/>
      <c r="AP26" s="1330"/>
      <c r="AQ26" s="1048"/>
      <c r="AR26" s="831"/>
      <c r="AS26" s="831"/>
      <c r="AT26" s="831"/>
      <c r="AU26" s="831"/>
      <c r="AV26" s="1474"/>
      <c r="AW26" s="1460" t="s">
        <v>549</v>
      </c>
      <c r="AX26" s="1461"/>
      <c r="AY26" s="1462"/>
      <c r="AZ26" s="1171">
        <f>Calcule!I3</f>
        <v>0</v>
      </c>
      <c r="BA26" s="1469" t="e">
        <f>AZ26/AZ$43</f>
        <v>#DIV/0!</v>
      </c>
      <c r="BB26" s="1311" t="str">
        <f>IF(AZ26=0,"",Calcule!I4/AZ26)</f>
        <v/>
      </c>
      <c r="BC26" s="1308" t="str">
        <f>IF(AZ26=0,"",Calcule!I5/Calcule!I4)</f>
        <v/>
      </c>
      <c r="BD26" s="1310" t="str">
        <f>IF(AZ26=0,"",Calcule!I5/Calcule!I3)</f>
        <v/>
      </c>
      <c r="BM26" s="1172" t="s">
        <v>556</v>
      </c>
      <c r="BN26" s="1173"/>
      <c r="BO26" s="1174"/>
      <c r="BP26" s="450">
        <f>Calcule!F$9</f>
        <v>0</v>
      </c>
      <c r="BQ26" s="451">
        <f>IF(BP26=0,,Calcule!F$10/BP26)</f>
        <v>0</v>
      </c>
      <c r="BR26" s="453">
        <f>IF(BP26=0,,BT26/(BP26*BQ26))</f>
        <v>0</v>
      </c>
      <c r="BS26" s="452">
        <f>IF(BP26=0,,BT26/BP26)</f>
        <v>0</v>
      </c>
      <c r="BT26" s="452">
        <f>Calcule!F$11</f>
        <v>0</v>
      </c>
      <c r="BU26" s="475">
        <f>Calcule!R22</f>
        <v>0</v>
      </c>
      <c r="CZ26" s="996"/>
      <c r="DA26" s="996"/>
      <c r="DB26" s="996"/>
      <c r="DC26" s="996"/>
      <c r="DD26" s="882"/>
      <c r="DE26" s="882"/>
      <c r="DF26" s="70"/>
      <c r="DH26" s="1382"/>
      <c r="DI26" s="1382"/>
      <c r="DJ26" s="1382"/>
      <c r="DK26" s="1382"/>
      <c r="DL26" s="1200"/>
      <c r="DM26" s="1200"/>
      <c r="DY26" s="423"/>
      <c r="DZ26" s="962"/>
      <c r="EA26" s="962"/>
      <c r="EB26" s="962"/>
      <c r="EC26" s="989"/>
      <c r="EE26" s="1263"/>
      <c r="EF26" s="990" t="s">
        <v>277</v>
      </c>
      <c r="EG26" s="990"/>
      <c r="EH26" s="990"/>
      <c r="EI26" s="990"/>
      <c r="EJ26" s="971">
        <f>EJ28+EJ29+EJ30</f>
        <v>0</v>
      </c>
      <c r="EK26" s="971"/>
      <c r="FN26" s="1217"/>
      <c r="FO26" s="1217"/>
      <c r="FP26" s="1217"/>
      <c r="FQ26" s="1216"/>
      <c r="FR26" s="1216"/>
      <c r="FS26" s="1216"/>
      <c r="FV26" s="1357"/>
      <c r="FW26" s="831"/>
      <c r="FX26" s="831"/>
      <c r="FY26" s="1358"/>
      <c r="FZ26" s="1359"/>
      <c r="GR26" s="1360" t="s">
        <v>606</v>
      </c>
      <c r="GS26" s="1360"/>
      <c r="GT26" s="1360"/>
      <c r="GU26" s="1360"/>
      <c r="GV26" s="1360"/>
      <c r="GW26" s="416"/>
      <c r="GX26" s="416"/>
      <c r="GY26" s="416"/>
      <c r="GZ26" s="416"/>
      <c r="HA26" s="416"/>
      <c r="HB26" s="416"/>
      <c r="HC26" s="412" t="e">
        <f>DL40/' Elevage'!P3</f>
        <v>#DIV/0!</v>
      </c>
      <c r="HD26" s="240" t="e">
        <f>HLOOKUP(Exploitation!B12,Références!D18:N55,23,FALSE)</f>
        <v>#N/A</v>
      </c>
      <c r="HE26" s="226"/>
    </row>
    <row r="27" spans="1:213" ht="9.75" customHeight="1" thickBot="1" x14ac:dyDescent="0.55000000000000004">
      <c r="I27" s="855"/>
      <c r="J27" s="855"/>
      <c r="K27" s="855"/>
      <c r="L27" s="855"/>
      <c r="M27" s="1479"/>
      <c r="N27" s="845"/>
      <c r="O27" s="802"/>
      <c r="P27" s="802"/>
      <c r="AW27" s="1463"/>
      <c r="AX27" s="1464"/>
      <c r="AY27" s="1465"/>
      <c r="AZ27" s="1035"/>
      <c r="BA27" s="1036"/>
      <c r="BB27" s="826"/>
      <c r="BC27" s="1309"/>
      <c r="BD27" s="1030"/>
      <c r="BM27" s="1143" t="s">
        <v>559</v>
      </c>
      <c r="BN27" s="1144"/>
      <c r="BO27" s="1145"/>
      <c r="BP27" s="461">
        <f>Calcule!F$12</f>
        <v>0</v>
      </c>
      <c r="BQ27" s="462">
        <f>IF(BP27=0,,Calcule!F$13/BP27)</f>
        <v>0</v>
      </c>
      <c r="BR27" s="463">
        <f>IF(BP27=0,,BT27/(BP27*BQ27))</f>
        <v>0</v>
      </c>
      <c r="BS27" s="464">
        <f>IF(BP27=0,,BT27/BP27)</f>
        <v>0</v>
      </c>
      <c r="BT27" s="464">
        <f>Calcule!F$14</f>
        <v>0</v>
      </c>
      <c r="BU27" s="476">
        <f>Calcule!S22</f>
        <v>0</v>
      </c>
      <c r="CF27" s="1439" t="s">
        <v>607</v>
      </c>
      <c r="CG27" s="1440"/>
      <c r="CH27" s="1440"/>
      <c r="CI27" s="1440"/>
      <c r="CJ27" s="1301" t="s">
        <v>608</v>
      </c>
      <c r="CK27" s="1302"/>
      <c r="CL27" s="1301" t="s">
        <v>609</v>
      </c>
      <c r="CM27" s="1302"/>
      <c r="CN27" s="1306" t="s">
        <v>610</v>
      </c>
      <c r="CO27" s="1307"/>
      <c r="CZ27" s="996"/>
      <c r="DA27" s="996"/>
      <c r="DB27" s="996"/>
      <c r="DC27" s="996"/>
      <c r="DD27" s="882"/>
      <c r="DE27" s="882"/>
      <c r="DF27" s="70"/>
      <c r="DH27" s="1293" t="s">
        <v>186</v>
      </c>
      <c r="DI27" s="1293"/>
      <c r="DJ27" s="1293"/>
      <c r="DK27" s="1293"/>
      <c r="DL27" s="963">
        <f>'Charges ovin'!C42</f>
        <v>0</v>
      </c>
      <c r="DM27" s="963"/>
      <c r="DY27" s="424"/>
      <c r="DZ27" s="961" t="s">
        <v>603</v>
      </c>
      <c r="EA27" s="961"/>
      <c r="EB27" s="961"/>
      <c r="EC27" s="988">
        <f>Calcule!AN13</f>
        <v>0</v>
      </c>
      <c r="EE27" s="1264"/>
      <c r="EF27" s="994"/>
      <c r="EG27" s="994"/>
      <c r="EH27" s="994"/>
      <c r="EI27" s="994"/>
      <c r="EJ27" s="977"/>
      <c r="EK27" s="977"/>
      <c r="FN27" s="61"/>
      <c r="FO27" s="61"/>
      <c r="FP27" s="61"/>
      <c r="GR27" s="1360" t="s">
        <v>611</v>
      </c>
      <c r="GS27" s="1360"/>
      <c r="GT27" s="1360"/>
      <c r="GU27" s="1360"/>
      <c r="GV27" s="1360"/>
      <c r="GW27" s="416"/>
      <c r="GX27" s="416"/>
      <c r="GY27" s="416"/>
      <c r="GZ27" s="416"/>
      <c r="HA27" s="416"/>
      <c r="HB27" s="416"/>
      <c r="HC27" s="412" t="e">
        <f>DG46/' Elevage'!P3</f>
        <v>#DIV/0!</v>
      </c>
      <c r="HD27" s="240" t="e">
        <f>HLOOKUP(Exploitation!B12,Références!D18:N55,24,FALSE)</f>
        <v>#N/A</v>
      </c>
      <c r="HE27" s="226"/>
    </row>
    <row r="28" spans="1:213" ht="9.75" customHeight="1" thickBot="1" x14ac:dyDescent="0.55000000000000004">
      <c r="A28" s="802" t="s">
        <v>49</v>
      </c>
      <c r="B28" s="802"/>
      <c r="C28" s="845">
        <f>Exploitation!B34</f>
        <v>0</v>
      </c>
      <c r="I28" s="855" t="s">
        <v>612</v>
      </c>
      <c r="J28" s="855"/>
      <c r="K28" s="855"/>
      <c r="L28" s="855"/>
      <c r="M28" s="1493" t="e">
        <f>HC15</f>
        <v>#DIV/0!</v>
      </c>
      <c r="N28" s="845"/>
      <c r="O28" s="1490" t="e">
        <f>HD15</f>
        <v>#N/A</v>
      </c>
      <c r="P28" s="802"/>
      <c r="AP28" s="67"/>
      <c r="AW28" s="1450" t="s">
        <v>551</v>
      </c>
      <c r="AX28" s="1451"/>
      <c r="AY28" s="1452"/>
      <c r="AZ28" s="1035">
        <f>Calcule!I6</f>
        <v>0</v>
      </c>
      <c r="BA28" s="1036" t="e">
        <f>AZ28/AZ$43</f>
        <v>#DIV/0!</v>
      </c>
      <c r="BB28" s="826" t="str">
        <f>IF(AZ28=0,"",Calcule!I7/AZ28)</f>
        <v/>
      </c>
      <c r="BC28" s="1309" t="str">
        <f>IF(AZ28=0,"",Calcule!I8/Calcule!I7)</f>
        <v/>
      </c>
      <c r="BD28" s="1030" t="str">
        <f>IF(AZ28=0,"",Calcule!I8/Calcule!I6)</f>
        <v/>
      </c>
      <c r="BP28" s="408"/>
      <c r="BT28" s="389"/>
      <c r="BU28" s="474"/>
      <c r="CF28" s="1441"/>
      <c r="CG28" s="1442"/>
      <c r="CH28" s="1442"/>
      <c r="CI28" s="1442"/>
      <c r="CJ28" s="1303"/>
      <c r="CK28" s="1304"/>
      <c r="CL28" s="1303"/>
      <c r="CM28" s="1304"/>
      <c r="CN28" s="1303"/>
      <c r="CO28" s="911"/>
      <c r="CZ28" s="996"/>
      <c r="DA28" s="996"/>
      <c r="DB28" s="996"/>
      <c r="DC28" s="996"/>
      <c r="DD28" s="882"/>
      <c r="DE28" s="882"/>
      <c r="DF28" s="70"/>
      <c r="DH28" s="1382"/>
      <c r="DI28" s="1382"/>
      <c r="DJ28" s="1382"/>
      <c r="DK28" s="1382"/>
      <c r="DL28" s="1200"/>
      <c r="DM28" s="1200"/>
      <c r="DY28" s="425"/>
      <c r="DZ28" s="962"/>
      <c r="EA28" s="962"/>
      <c r="EB28" s="962"/>
      <c r="EC28" s="989"/>
      <c r="EF28" s="949" t="s">
        <v>278</v>
      </c>
      <c r="EG28" s="949"/>
      <c r="EH28" s="949"/>
      <c r="EI28" s="949"/>
      <c r="EJ28" s="978">
        <f>'Charges de structure'!C27</f>
        <v>0</v>
      </c>
      <c r="EK28" s="978"/>
      <c r="EU28" s="135"/>
      <c r="EV28" s="1265" t="s">
        <v>613</v>
      </c>
      <c r="EW28" s="1265"/>
      <c r="EX28" s="1265"/>
      <c r="EY28" s="1265"/>
      <c r="EZ28" s="1265"/>
      <c r="FA28" s="1265"/>
      <c r="FB28" s="141"/>
      <c r="FD28" s="1265"/>
      <c r="FE28" s="1265"/>
      <c r="FF28" s="1265" t="s">
        <v>614</v>
      </c>
      <c r="FG28" s="1265"/>
      <c r="FH28" s="1265"/>
      <c r="FI28" s="1265"/>
      <c r="FJ28" s="1265"/>
      <c r="FN28" s="61"/>
      <c r="FO28" s="61"/>
      <c r="FP28" s="61"/>
      <c r="GR28" s="1360" t="s">
        <v>615</v>
      </c>
      <c r="GS28" s="1360"/>
      <c r="GT28" s="1360"/>
      <c r="GU28" s="1360"/>
      <c r="GV28" s="1360"/>
      <c r="GW28" s="416"/>
      <c r="GX28" s="416"/>
      <c r="GY28" s="416"/>
      <c r="GZ28" s="416"/>
      <c r="HA28" s="416"/>
      <c r="HB28" s="416"/>
      <c r="HC28" s="412" t="e">
        <f>DD40/' Elevage'!P3</f>
        <v>#DIV/0!</v>
      </c>
      <c r="HD28" s="239" t="e">
        <f>HLOOKUP(Exploitation!B12,Références!D18:N55,25,FALSE)</f>
        <v>#N/A</v>
      </c>
      <c r="HE28" s="226"/>
    </row>
    <row r="29" spans="1:213" ht="9.75" customHeight="1" thickBot="1" x14ac:dyDescent="0.55000000000000004">
      <c r="A29" s="802"/>
      <c r="B29" s="802"/>
      <c r="C29" s="845"/>
      <c r="I29" s="855"/>
      <c r="J29" s="855"/>
      <c r="K29" s="855"/>
      <c r="L29" s="855"/>
      <c r="M29" s="1479"/>
      <c r="N29" s="845"/>
      <c r="O29" s="802"/>
      <c r="P29" s="802"/>
      <c r="AG29" s="1498" t="s">
        <v>616</v>
      </c>
      <c r="AH29" s="1499"/>
      <c r="AI29" s="1500"/>
      <c r="AJ29" s="1448" t="e">
        <f>'Extraction chambre'!AF3</f>
        <v>#DIV/0!</v>
      </c>
      <c r="AW29" s="1450"/>
      <c r="AX29" s="1451"/>
      <c r="AY29" s="1452"/>
      <c r="AZ29" s="1035"/>
      <c r="BA29" s="1036"/>
      <c r="BB29" s="826"/>
      <c r="BC29" s="1309"/>
      <c r="BD29" s="1030"/>
      <c r="BP29" s="408"/>
      <c r="BT29" s="389"/>
      <c r="BU29" s="474"/>
      <c r="CF29" s="1443"/>
      <c r="CG29" s="1444"/>
      <c r="CH29" s="1444"/>
      <c r="CI29" s="1444"/>
      <c r="CJ29" s="912"/>
      <c r="CK29" s="1305"/>
      <c r="CL29" s="912"/>
      <c r="CM29" s="1305"/>
      <c r="CN29" s="912"/>
      <c r="CO29" s="913"/>
      <c r="DD29" s="78"/>
      <c r="DE29" s="78"/>
      <c r="DF29" s="70"/>
      <c r="DH29" s="1293" t="s">
        <v>179</v>
      </c>
      <c r="DI29" s="1293"/>
      <c r="DJ29" s="1293"/>
      <c r="DK29" s="1293"/>
      <c r="DL29" s="963">
        <f>'Charges ovin'!C36</f>
        <v>0</v>
      </c>
      <c r="DM29" s="963"/>
      <c r="DY29" s="420"/>
      <c r="DZ29" s="961" t="s">
        <v>241</v>
      </c>
      <c r="EA29" s="961"/>
      <c r="EB29" s="961"/>
      <c r="EC29" s="988">
        <f>Calcule!AN12</f>
        <v>0</v>
      </c>
      <c r="EF29" s="949" t="s">
        <v>280</v>
      </c>
      <c r="EG29" s="949"/>
      <c r="EH29" s="949"/>
      <c r="EI29" s="949"/>
      <c r="EJ29" s="978">
        <f>'Charges de structure'!C28</f>
        <v>0</v>
      </c>
      <c r="EK29" s="978"/>
      <c r="EU29" s="135"/>
      <c r="EV29" s="1265"/>
      <c r="EW29" s="1265"/>
      <c r="EX29" s="1265"/>
      <c r="EY29" s="1265"/>
      <c r="EZ29" s="1265"/>
      <c r="FA29" s="1265"/>
      <c r="FB29" s="141"/>
      <c r="FD29" s="1265"/>
      <c r="FE29" s="1265"/>
      <c r="FF29" s="1265"/>
      <c r="FG29" s="1265"/>
      <c r="FH29" s="1265"/>
      <c r="FI29" s="1265"/>
      <c r="FJ29" s="1265"/>
      <c r="FN29" s="61"/>
      <c r="FO29" s="61"/>
      <c r="FP29" s="61"/>
      <c r="GR29" s="1360" t="s">
        <v>617</v>
      </c>
      <c r="GS29" s="1360"/>
      <c r="GT29" s="1360"/>
      <c r="GU29" s="1360"/>
      <c r="GV29" s="1360"/>
      <c r="GW29" s="416"/>
      <c r="GX29" s="416"/>
      <c r="GY29" s="416"/>
      <c r="GZ29" s="416"/>
      <c r="HA29" s="416"/>
      <c r="HB29" s="416"/>
      <c r="HC29" s="413" t="e">
        <f>DG48/' Elevage'!P3</f>
        <v>#DIV/0!</v>
      </c>
      <c r="HD29" s="239" t="e">
        <f>HLOOKUP(Exploitation!B12,Références!D18:N55,26,FALSE)</f>
        <v>#N/A</v>
      </c>
      <c r="HE29" s="226"/>
    </row>
    <row r="30" spans="1:213" ht="9.75" customHeight="1" thickBot="1" x14ac:dyDescent="0.55000000000000004">
      <c r="I30" s="855" t="s">
        <v>618</v>
      </c>
      <c r="J30" s="855"/>
      <c r="K30" s="855"/>
      <c r="L30" s="855"/>
      <c r="M30" s="1493" t="e">
        <f>HC16</f>
        <v>#DIV/0!</v>
      </c>
      <c r="N30" s="845"/>
      <c r="O30" s="1490" t="e">
        <f>HD16</f>
        <v>#N/A</v>
      </c>
      <c r="P30" s="802"/>
      <c r="AG30" s="1501"/>
      <c r="AH30" s="1502"/>
      <c r="AI30" s="1503"/>
      <c r="AJ30" s="1449"/>
      <c r="AW30" s="1397" t="s">
        <v>556</v>
      </c>
      <c r="AX30" s="1398"/>
      <c r="AY30" s="1399"/>
      <c r="AZ30" s="1035">
        <f>Calcule!I9</f>
        <v>0</v>
      </c>
      <c r="BA30" s="1036" t="e">
        <f>AZ30/AZ$43</f>
        <v>#DIV/0!</v>
      </c>
      <c r="BB30" s="826" t="str">
        <f>IF(AZ30=0,"",Calcule!I10/AZ30)</f>
        <v/>
      </c>
      <c r="BC30" s="1309" t="str">
        <f>IF(AZ30=0,"",Calcule!I11/Calcule!I10)</f>
        <v/>
      </c>
      <c r="BD30" s="1030" t="str">
        <f>IF(AZ30=0,"",Calcule!I11/Calcule!I9)</f>
        <v/>
      </c>
      <c r="BM30" s="1085" t="s">
        <v>106</v>
      </c>
      <c r="BN30" s="1086"/>
      <c r="BO30" s="1086"/>
      <c r="BP30" s="465">
        <f>SUM(BP31:BP34)</f>
        <v>0</v>
      </c>
      <c r="BQ30" s="466">
        <f>IF(BP30=0,,(BP31*BQ31+BP32*BQ32+BP33*BQ33+BP34*BQ34)/BP30)</f>
        <v>0</v>
      </c>
      <c r="BR30" s="467">
        <f>IF(BP30=0,,BT30/(BP30*BQ30))</f>
        <v>0</v>
      </c>
      <c r="BS30" s="468">
        <f>IF(BP30=0,,BT30/BP30)</f>
        <v>0</v>
      </c>
      <c r="BT30" s="468">
        <f>SUM(BT31:BT34)</f>
        <v>0</v>
      </c>
      <c r="BU30" s="471" t="str">
        <f>IF(BP30=0,"",(BP31*BU31+BP32*BU32+BP33*BU33+BP34*BU34)/BP30)</f>
        <v/>
      </c>
      <c r="CF30" s="1390" t="s">
        <v>619</v>
      </c>
      <c r="CG30" s="1391"/>
      <c r="CH30" s="1142" t="s">
        <v>620</v>
      </c>
      <c r="CI30" s="1142"/>
      <c r="CJ30" s="1434" t="e">
        <f>('Stock et ration '!H11*1000)/' Elevage'!I20</f>
        <v>#DIV/0!</v>
      </c>
      <c r="CK30" s="1435"/>
      <c r="CL30" s="1436" t="e">
        <f>(('Charges ovin'!C4+'Charges ovin'!C6)/(('Charges ovin'!C5+'Charges ovin'!C7)*1000))*'Bilan complet'!CJ30</f>
        <v>#DIV/0!</v>
      </c>
      <c r="CM30" s="1437"/>
      <c r="CN30" s="1436" t="e">
        <f>(CL30*' Elevage'!I20)/Calcule!AU52</f>
        <v>#DIV/0!</v>
      </c>
      <c r="CO30" s="1438"/>
      <c r="CZ30" s="69"/>
      <c r="DA30" s="69"/>
      <c r="DB30" s="69"/>
      <c r="DC30" s="69"/>
      <c r="DD30" s="79"/>
      <c r="DE30" s="79"/>
      <c r="DF30" s="70"/>
      <c r="DH30" s="1382"/>
      <c r="DI30" s="1382"/>
      <c r="DJ30" s="1382"/>
      <c r="DK30" s="1382"/>
      <c r="DL30" s="1200"/>
      <c r="DM30" s="1200"/>
      <c r="DY30" s="421"/>
      <c r="DZ30" s="962"/>
      <c r="EA30" s="962"/>
      <c r="EB30" s="962"/>
      <c r="EC30" s="989"/>
      <c r="EE30" s="360"/>
      <c r="EF30" s="945" t="s">
        <v>281</v>
      </c>
      <c r="EG30" s="945"/>
      <c r="EH30" s="945"/>
      <c r="EI30" s="945"/>
      <c r="EJ30" s="964">
        <f>'Charges de structure'!C29</f>
        <v>0</v>
      </c>
      <c r="EK30" s="964"/>
      <c r="FB30" s="141"/>
      <c r="FN30" s="1295" t="s">
        <v>404</v>
      </c>
      <c r="FO30" s="1296"/>
      <c r="FP30" s="1296"/>
      <c r="FQ30" s="1351">
        <f>FQ14+FQ19-FQ24</f>
        <v>0</v>
      </c>
      <c r="FR30" s="1351"/>
      <c r="FS30" s="1352"/>
      <c r="GR30" s="1213" t="s">
        <v>621</v>
      </c>
      <c r="GS30" s="1214"/>
      <c r="GT30" s="1214"/>
      <c r="GU30" s="1214"/>
      <c r="GV30" s="1215"/>
      <c r="GW30" s="416"/>
      <c r="GX30" s="416"/>
      <c r="GY30" s="416"/>
      <c r="GZ30" s="416"/>
      <c r="HA30" s="416"/>
      <c r="HB30" s="416"/>
      <c r="HC30" s="412">
        <f>FQ9</f>
        <v>0</v>
      </c>
      <c r="HD30" s="239" t="e">
        <f>HLOOKUP(Exploitation!B12,Références!D18:N55,27,FALSE)</f>
        <v>#N/A</v>
      </c>
      <c r="HE30" s="226"/>
    </row>
    <row r="31" spans="1:213" ht="9.75" customHeight="1" x14ac:dyDescent="0.5">
      <c r="A31" s="845" t="s">
        <v>68</v>
      </c>
      <c r="B31" s="845"/>
      <c r="C31" s="845"/>
      <c r="D31" s="1506">
        <f>' Elevage'!P3</f>
        <v>0</v>
      </c>
      <c r="E31" s="845"/>
      <c r="F31" s="845"/>
      <c r="G31" s="845"/>
      <c r="I31" s="855"/>
      <c r="J31" s="855"/>
      <c r="K31" s="855"/>
      <c r="L31" s="855"/>
      <c r="M31" s="1479"/>
      <c r="N31" s="845"/>
      <c r="O31" s="802"/>
      <c r="P31" s="802"/>
      <c r="AW31" s="1397"/>
      <c r="AX31" s="1398"/>
      <c r="AY31" s="1399"/>
      <c r="AZ31" s="1035"/>
      <c r="BA31" s="1036"/>
      <c r="BB31" s="826"/>
      <c r="BC31" s="1309"/>
      <c r="BD31" s="1030"/>
      <c r="BM31" s="1125" t="s">
        <v>549</v>
      </c>
      <c r="BN31" s="1126"/>
      <c r="BO31" s="1127"/>
      <c r="BP31" s="450">
        <f>Calcule!G$3</f>
        <v>0</v>
      </c>
      <c r="BQ31" s="451">
        <f>IF(BP31=0,,Calcule!G$4/BP31)</f>
        <v>0</v>
      </c>
      <c r="BR31" s="453">
        <f>IF(BP31=0,,BT31/(BP31*BQ31))</f>
        <v>0</v>
      </c>
      <c r="BS31" s="452">
        <f>IF(BP31=0,,BT31/BP31)</f>
        <v>0</v>
      </c>
      <c r="BT31" s="452">
        <f>Calcule!G$5</f>
        <v>0</v>
      </c>
      <c r="BU31" s="475">
        <f>Calcule!P23</f>
        <v>0</v>
      </c>
      <c r="CF31" s="878"/>
      <c r="CG31" s="879"/>
      <c r="CH31" s="802"/>
      <c r="CI31" s="802"/>
      <c r="CJ31" s="891"/>
      <c r="CK31" s="892"/>
      <c r="CL31" s="936"/>
      <c r="CM31" s="1313"/>
      <c r="CN31" s="936"/>
      <c r="CO31" s="937"/>
      <c r="CZ31" s="1258" t="s">
        <v>252</v>
      </c>
      <c r="DA31" s="1258"/>
      <c r="DB31" s="1258"/>
      <c r="DC31" s="1258"/>
      <c r="DD31" s="963">
        <f>DD33+DD34</f>
        <v>0</v>
      </c>
      <c r="DE31" s="963"/>
      <c r="DF31" s="70"/>
      <c r="DH31" s="1293" t="s">
        <v>187</v>
      </c>
      <c r="DI31" s="1293"/>
      <c r="DJ31" s="1293"/>
      <c r="DK31" s="1293"/>
      <c r="DL31" s="1199">
        <f>SUM(DL33:DL39)</f>
        <v>0</v>
      </c>
      <c r="DM31" s="1199"/>
      <c r="DY31" s="418"/>
      <c r="DZ31" s="961" t="s">
        <v>173</v>
      </c>
      <c r="EA31" s="961"/>
      <c r="EB31" s="961"/>
      <c r="EC31" s="988">
        <f>Calcule!AN11</f>
        <v>0</v>
      </c>
      <c r="EE31" s="999"/>
      <c r="EF31" s="990" t="s">
        <v>282</v>
      </c>
      <c r="EG31" s="990"/>
      <c r="EH31" s="990"/>
      <c r="EI31" s="990"/>
      <c r="EJ31" s="971">
        <f>EJ34+EJ35+EJ36+EJ37+EJ33+EJ38</f>
        <v>0</v>
      </c>
      <c r="EK31" s="971"/>
      <c r="FB31" s="141"/>
      <c r="FN31" s="1297"/>
      <c r="FO31" s="1298"/>
      <c r="FP31" s="1298"/>
      <c r="FQ31" s="1353"/>
      <c r="FR31" s="1353"/>
      <c r="FS31" s="1354"/>
      <c r="GR31" s="1213" t="s">
        <v>622</v>
      </c>
      <c r="GS31" s="1214"/>
      <c r="GT31" s="1214"/>
      <c r="GU31" s="1214"/>
      <c r="GV31" s="1215"/>
      <c r="GW31" s="416"/>
      <c r="GX31" s="416"/>
      <c r="GY31" s="416"/>
      <c r="GZ31" s="416"/>
      <c r="HA31" s="416"/>
      <c r="HB31" s="416"/>
      <c r="HC31" s="413">
        <f>FQ14</f>
        <v>0</v>
      </c>
      <c r="HD31" s="239" t="e">
        <f>HLOOKUP(Exploitation!B12,Références!D18:N55,28,FALSE)</f>
        <v>#N/A</v>
      </c>
      <c r="HE31" s="226"/>
    </row>
    <row r="32" spans="1:213" ht="9.75" customHeight="1" thickBot="1" x14ac:dyDescent="0.55000000000000004">
      <c r="A32" s="845"/>
      <c r="B32" s="845"/>
      <c r="C32" s="845"/>
      <c r="D32" s="845"/>
      <c r="E32" s="845"/>
      <c r="F32" s="845"/>
      <c r="G32" s="845"/>
      <c r="I32" s="855" t="s">
        <v>623</v>
      </c>
      <c r="J32" s="855"/>
      <c r="K32" s="855"/>
      <c r="L32" s="855"/>
      <c r="M32" s="1493" t="str">
        <f>HC24</f>
        <v/>
      </c>
      <c r="N32" s="845"/>
      <c r="O32" s="1490" t="e">
        <f>HD24</f>
        <v>#N/A</v>
      </c>
      <c r="P32" s="802"/>
      <c r="AW32" s="1394" t="s">
        <v>559</v>
      </c>
      <c r="AX32" s="1395"/>
      <c r="AY32" s="1396"/>
      <c r="AZ32" s="1035">
        <f>Calcule!I12</f>
        <v>0</v>
      </c>
      <c r="BA32" s="1036" t="e">
        <f>AZ32/AZ$43</f>
        <v>#DIV/0!</v>
      </c>
      <c r="BB32" s="826" t="str">
        <f>IF(AZ32=0,"",Calcule!I13/AZ32)</f>
        <v/>
      </c>
      <c r="BC32" s="1309" t="str">
        <f>IF(AZ32=0,"",Calcule!I14/Calcule!I13)</f>
        <v/>
      </c>
      <c r="BD32" s="1030" t="str">
        <f>IF(AZ32=0,"",Calcule!I14/Calcule!I12)</f>
        <v/>
      </c>
      <c r="BM32" s="1094" t="s">
        <v>551</v>
      </c>
      <c r="BN32" s="1095"/>
      <c r="BO32" s="1096"/>
      <c r="BP32" s="450">
        <f>Calcule!G$6</f>
        <v>0</v>
      </c>
      <c r="BQ32" s="451">
        <f>IF(BP32=0,,Calcule!G$7/BP32)</f>
        <v>0</v>
      </c>
      <c r="BR32" s="453">
        <f>IF(BP32=0,,BT32/(BP32*BQ32))</f>
        <v>0</v>
      </c>
      <c r="BS32" s="452">
        <f>IF(BP32=0,,BT32/BP32)</f>
        <v>0</v>
      </c>
      <c r="BT32" s="452">
        <f>Calcule!G$8</f>
        <v>0</v>
      </c>
      <c r="BU32" s="475">
        <f>Calcule!Q23</f>
        <v>0</v>
      </c>
      <c r="CF32" s="878"/>
      <c r="CG32" s="879"/>
      <c r="CH32" s="802" t="s">
        <v>624</v>
      </c>
      <c r="CI32" s="802"/>
      <c r="CJ32" s="889" t="e">
        <f>('Stock et ration '!H9*1000)/' Elevage'!I20</f>
        <v>#DIV/0!</v>
      </c>
      <c r="CK32" s="890"/>
      <c r="CL32" s="934" t="e">
        <f>('Charges ovin'!C9/('Charges ovin'!C10*1000))*'Bilan complet'!CJ32</f>
        <v>#DIV/0!</v>
      </c>
      <c r="CM32" s="1312"/>
      <c r="CN32" s="934" t="e">
        <f>(CL32*' Elevage'!I20)/Calcule!AU52</f>
        <v>#DIV/0!</v>
      </c>
      <c r="CO32" s="935"/>
      <c r="CZ32" s="1258"/>
      <c r="DA32" s="1258"/>
      <c r="DB32" s="1258"/>
      <c r="DC32" s="1258"/>
      <c r="DD32" s="963"/>
      <c r="DE32" s="963"/>
      <c r="DF32" s="70"/>
      <c r="DH32" s="994"/>
      <c r="DI32" s="994"/>
      <c r="DJ32" s="994"/>
      <c r="DK32" s="994"/>
      <c r="DL32" s="963"/>
      <c r="DM32" s="963"/>
      <c r="DY32" s="419"/>
      <c r="DZ32" s="962"/>
      <c r="EA32" s="962"/>
      <c r="EB32" s="962"/>
      <c r="EC32" s="989"/>
      <c r="EE32" s="1000"/>
      <c r="EF32" s="994"/>
      <c r="EG32" s="994"/>
      <c r="EH32" s="994"/>
      <c r="EI32" s="994"/>
      <c r="EJ32" s="977"/>
      <c r="EK32" s="977"/>
      <c r="EU32" s="256"/>
      <c r="EV32" s="256"/>
      <c r="EW32" s="256"/>
      <c r="EX32" s="256"/>
      <c r="EY32" s="256"/>
      <c r="EZ32" s="256"/>
      <c r="FA32" s="256"/>
      <c r="FB32" s="141"/>
      <c r="FD32" s="873" t="s">
        <v>581</v>
      </c>
      <c r="FE32" s="873"/>
      <c r="FF32" s="873"/>
      <c r="FG32" s="873"/>
      <c r="FH32" s="873"/>
      <c r="FN32" s="1299"/>
      <c r="FO32" s="1300"/>
      <c r="FP32" s="1300"/>
      <c r="FQ32" s="1355"/>
      <c r="FR32" s="1355"/>
      <c r="FS32" s="1356"/>
      <c r="GR32" s="1213" t="s">
        <v>625</v>
      </c>
      <c r="GS32" s="1214"/>
      <c r="GT32" s="1214"/>
      <c r="GU32" s="1214"/>
      <c r="GV32" s="1215"/>
      <c r="GW32" s="416"/>
      <c r="GX32" s="416"/>
      <c r="GY32" s="416"/>
      <c r="GZ32" s="416"/>
      <c r="HA32" s="416"/>
      <c r="HB32" s="416"/>
      <c r="HC32" s="412">
        <f>EJ48</f>
        <v>0</v>
      </c>
      <c r="HD32" s="239" t="e">
        <f>HLOOKUP(Exploitation!B12,Références!D18:N55,29,FALSE)</f>
        <v>#N/A</v>
      </c>
      <c r="HE32" s="226"/>
    </row>
    <row r="33" spans="1:213" ht="9.75" customHeight="1" x14ac:dyDescent="0.5">
      <c r="I33" s="855"/>
      <c r="J33" s="855"/>
      <c r="K33" s="855"/>
      <c r="L33" s="855"/>
      <c r="M33" s="1479"/>
      <c r="N33" s="845"/>
      <c r="O33" s="802"/>
      <c r="P33" s="802"/>
      <c r="AW33" s="1394"/>
      <c r="AX33" s="1395"/>
      <c r="AY33" s="1396"/>
      <c r="AZ33" s="1035"/>
      <c r="BA33" s="1036"/>
      <c r="BB33" s="826"/>
      <c r="BC33" s="1309"/>
      <c r="BD33" s="1030"/>
      <c r="BM33" s="1172" t="s">
        <v>556</v>
      </c>
      <c r="BN33" s="1173"/>
      <c r="BO33" s="1174"/>
      <c r="BP33" s="450">
        <f>Calcule!G$9</f>
        <v>0</v>
      </c>
      <c r="BQ33" s="451">
        <f>IF(BP33=0,,Calcule!G$10/BP33)</f>
        <v>0</v>
      </c>
      <c r="BR33" s="453">
        <f>IF(BP33=0,,BT33/(BP33*BQ33))</f>
        <v>0</v>
      </c>
      <c r="BS33" s="452">
        <f>IF(BP33=0,,BT33/BP33)</f>
        <v>0</v>
      </c>
      <c r="BT33" s="452">
        <f>Calcule!G$11</f>
        <v>0</v>
      </c>
      <c r="BU33" s="475">
        <f>Calcule!R23</f>
        <v>0</v>
      </c>
      <c r="CF33" s="878"/>
      <c r="CG33" s="879"/>
      <c r="CH33" s="802"/>
      <c r="CI33" s="802"/>
      <c r="CJ33" s="891"/>
      <c r="CK33" s="892"/>
      <c r="CL33" s="936"/>
      <c r="CM33" s="1313"/>
      <c r="CN33" s="936"/>
      <c r="CO33" s="937"/>
      <c r="CZ33" s="949" t="s">
        <v>379</v>
      </c>
      <c r="DA33" s="949"/>
      <c r="DB33" s="949"/>
      <c r="DC33" s="949"/>
      <c r="DD33" s="954">
        <f>Aides!J3</f>
        <v>0</v>
      </c>
      <c r="DE33" s="954"/>
      <c r="DF33" s="70"/>
      <c r="DH33" s="949" t="s">
        <v>188</v>
      </c>
      <c r="DI33" s="949"/>
      <c r="DJ33" s="949"/>
      <c r="DK33" s="949"/>
      <c r="DL33" s="954">
        <f>'Charges ovin'!C45</f>
        <v>0</v>
      </c>
      <c r="DM33" s="954"/>
      <c r="DY33" s="426"/>
      <c r="DZ33" s="961" t="s">
        <v>384</v>
      </c>
      <c r="EA33" s="961"/>
      <c r="EB33" s="961"/>
      <c r="EC33" s="988">
        <f>Calcule!AN10</f>
        <v>0</v>
      </c>
      <c r="EF33" s="949" t="s">
        <v>284</v>
      </c>
      <c r="EG33" s="949"/>
      <c r="EH33" s="949"/>
      <c r="EI33" s="949"/>
      <c r="EJ33" s="978">
        <f>'Charges de structure'!C32</f>
        <v>0</v>
      </c>
      <c r="EK33" s="978"/>
      <c r="EU33" s="1003" t="s">
        <v>626</v>
      </c>
      <c r="EV33" s="1003"/>
      <c r="EW33" s="1003"/>
      <c r="EX33" s="1003" t="s">
        <v>217</v>
      </c>
      <c r="EY33" s="1003" t="s">
        <v>218</v>
      </c>
      <c r="EZ33" s="1003" t="s">
        <v>627</v>
      </c>
      <c r="FA33" s="1003"/>
      <c r="FB33" s="141"/>
      <c r="FD33" s="944"/>
      <c r="FE33" s="944"/>
      <c r="FF33" s="944"/>
      <c r="FG33" s="944"/>
      <c r="FH33" s="944"/>
      <c r="FI33" s="69"/>
      <c r="FJ33" s="69"/>
      <c r="GR33" s="1213" t="s">
        <v>628</v>
      </c>
      <c r="GS33" s="1214"/>
      <c r="GT33" s="1214"/>
      <c r="GU33" s="1214"/>
      <c r="GV33" s="1215"/>
      <c r="GW33" s="416"/>
      <c r="GX33" s="416"/>
      <c r="GY33" s="416"/>
      <c r="GZ33" s="416"/>
      <c r="HA33" s="416"/>
      <c r="HB33" s="416"/>
      <c r="HC33" s="412">
        <f>FU42</f>
        <v>0</v>
      </c>
      <c r="HD33" s="239" t="e">
        <f>HLOOKUP(Exploitation!B12,Références!D18:N55,30,FALSE)</f>
        <v>#N/A</v>
      </c>
      <c r="HE33" s="226"/>
    </row>
    <row r="34" spans="1:213" ht="9.75" customHeight="1" thickBot="1" x14ac:dyDescent="0.55000000000000004">
      <c r="A34" s="802" t="s">
        <v>40</v>
      </c>
      <c r="B34" s="802"/>
      <c r="C34" s="802"/>
      <c r="D34" s="846">
        <f>Exploitation!B26</f>
        <v>0</v>
      </c>
      <c r="E34" s="845"/>
      <c r="F34" s="845"/>
      <c r="G34" s="845"/>
      <c r="I34" s="855" t="s">
        <v>629</v>
      </c>
      <c r="J34" s="855"/>
      <c r="K34" s="855"/>
      <c r="L34" s="855"/>
      <c r="M34" s="1493">
        <f>HC23</f>
        <v>0</v>
      </c>
      <c r="N34" s="845"/>
      <c r="O34" s="1494" t="e">
        <f>HD23</f>
        <v>#N/A</v>
      </c>
      <c r="P34" s="802"/>
      <c r="AG34" s="1135"/>
      <c r="AH34" s="1128" t="s">
        <v>630</v>
      </c>
      <c r="AI34" s="1128"/>
      <c r="AJ34" s="1128"/>
      <c r="AK34" s="1128"/>
      <c r="AL34" s="1128"/>
      <c r="AM34" s="1128"/>
      <c r="AN34" s="1128"/>
      <c r="AO34" s="1128"/>
      <c r="AP34" s="1128"/>
      <c r="AQ34" s="1128"/>
      <c r="AR34" s="1128"/>
      <c r="AS34" s="1128"/>
      <c r="AT34" s="1128"/>
      <c r="AU34" s="1128"/>
      <c r="AV34" s="1128"/>
      <c r="AW34" s="1119" t="s">
        <v>634</v>
      </c>
      <c r="AX34" s="801"/>
      <c r="AY34" s="1108"/>
      <c r="AZ34" s="1035">
        <f>Calcule!I15</f>
        <v>0</v>
      </c>
      <c r="BA34" s="1036" t="e">
        <f>AZ34/AZ$43</f>
        <v>#DIV/0!</v>
      </c>
      <c r="BB34" s="826" t="str">
        <f>IF(AZ34=0,"",Calcule!I16/AZ34)</f>
        <v/>
      </c>
      <c r="BC34" s="1032" t="str">
        <f>IF(AZ34=0,"",Calcule!I17/Calcule!I16)</f>
        <v/>
      </c>
      <c r="BD34" s="1030" t="str">
        <f>IF(AZ34=0,"",Calcule!I17/Calcule!I15)</f>
        <v/>
      </c>
      <c r="BM34" s="1143" t="s">
        <v>559</v>
      </c>
      <c r="BN34" s="1144"/>
      <c r="BO34" s="1145"/>
      <c r="BP34" s="461">
        <f>Calcule!G$12</f>
        <v>0</v>
      </c>
      <c r="BQ34" s="462">
        <f>IF(BP34=0,,Calcule!G$13/BP34)</f>
        <v>0</v>
      </c>
      <c r="BR34" s="463">
        <f>IF(BP34=0,,BT34/(BP34*BQ34))</f>
        <v>0</v>
      </c>
      <c r="BS34" s="464">
        <f>IF(BP34=0,,BT34/BP34)</f>
        <v>0</v>
      </c>
      <c r="BT34" s="464">
        <f>Calcule!G$14</f>
        <v>0</v>
      </c>
      <c r="BU34" s="476">
        <f>Calcule!S23</f>
        <v>0</v>
      </c>
      <c r="CF34" s="878"/>
      <c r="CG34" s="879"/>
      <c r="CH34" s="879" t="s">
        <v>155</v>
      </c>
      <c r="CI34" s="879"/>
      <c r="CJ34" s="1322" t="e">
        <f>SUM(CJ30:CK33)</f>
        <v>#DIV/0!</v>
      </c>
      <c r="CK34" s="1323"/>
      <c r="CL34" s="900" t="e">
        <f>SUM(CL30:CM33)</f>
        <v>#DIV/0!</v>
      </c>
      <c r="CM34" s="901"/>
      <c r="CN34" s="900" t="e">
        <f>SUM(CN30:CO33)</f>
        <v>#DIV/0!</v>
      </c>
      <c r="CO34" s="904"/>
      <c r="CZ34" s="949" t="s">
        <v>380</v>
      </c>
      <c r="DA34" s="949"/>
      <c r="DB34" s="949"/>
      <c r="DC34" s="949"/>
      <c r="DD34" s="954">
        <f>Aides!J4</f>
        <v>0</v>
      </c>
      <c r="DE34" s="954"/>
      <c r="DF34" s="70"/>
      <c r="DH34" s="949" t="s">
        <v>189</v>
      </c>
      <c r="DI34" s="949"/>
      <c r="DJ34" s="949"/>
      <c r="DK34" s="949"/>
      <c r="DL34" s="954">
        <f>'Charges ovin'!C47</f>
        <v>0</v>
      </c>
      <c r="DM34" s="954"/>
      <c r="DY34" s="427"/>
      <c r="DZ34" s="962"/>
      <c r="EA34" s="962"/>
      <c r="EB34" s="962"/>
      <c r="EC34" s="989"/>
      <c r="EF34" s="949" t="s">
        <v>283</v>
      </c>
      <c r="EG34" s="949"/>
      <c r="EH34" s="949"/>
      <c r="EI34" s="949"/>
      <c r="EJ34" s="978">
        <f>'Charges de structure'!C31</f>
        <v>0</v>
      </c>
      <c r="EK34" s="978"/>
      <c r="EU34" s="1003"/>
      <c r="EV34" s="1003"/>
      <c r="EW34" s="1003"/>
      <c r="EX34" s="1003"/>
      <c r="EY34" s="1003"/>
      <c r="EZ34" s="1003"/>
      <c r="FA34" s="1003"/>
      <c r="FB34" s="141"/>
      <c r="FD34" s="928" t="s">
        <v>400</v>
      </c>
      <c r="FE34" s="928"/>
      <c r="FF34" s="928"/>
      <c r="FG34" s="928"/>
      <c r="FH34" s="928"/>
      <c r="FI34" s="1333">
        <f>Aides!D3</f>
        <v>0</v>
      </c>
      <c r="FJ34" s="1333"/>
      <c r="GR34" s="1213" t="s">
        <v>631</v>
      </c>
      <c r="GS34" s="1214"/>
      <c r="GT34" s="1214"/>
      <c r="GU34" s="1214"/>
      <c r="GV34" s="1215"/>
      <c r="GW34" s="416"/>
      <c r="GX34" s="416"/>
      <c r="GY34" s="416"/>
      <c r="GZ34" s="416"/>
      <c r="HA34" s="416"/>
      <c r="HB34" s="416"/>
      <c r="HC34" s="412">
        <f>FU36+FN36</f>
        <v>0</v>
      </c>
      <c r="HD34" s="239" t="e">
        <f>HLOOKUP(Exploitation!B12,Références!D18:N55,31,FALSE)</f>
        <v>#N/A</v>
      </c>
      <c r="HE34" s="226"/>
    </row>
    <row r="35" spans="1:213" ht="9.75" customHeight="1" thickBot="1" x14ac:dyDescent="0.55000000000000004">
      <c r="A35" s="802"/>
      <c r="B35" s="802"/>
      <c r="C35" s="802"/>
      <c r="D35" s="845"/>
      <c r="E35" s="845"/>
      <c r="F35" s="845"/>
      <c r="G35" s="845"/>
      <c r="I35" s="855"/>
      <c r="J35" s="855"/>
      <c r="K35" s="855"/>
      <c r="L35" s="855"/>
      <c r="M35" s="1479"/>
      <c r="N35" s="845"/>
      <c r="O35" s="802"/>
      <c r="P35" s="802"/>
      <c r="AG35" s="1135"/>
      <c r="AH35" s="1128"/>
      <c r="AI35" s="1128"/>
      <c r="AJ35" s="1128"/>
      <c r="AK35" s="1128"/>
      <c r="AL35" s="1128"/>
      <c r="AM35" s="1128"/>
      <c r="AN35" s="1128"/>
      <c r="AO35" s="1128"/>
      <c r="AP35" s="1128"/>
      <c r="AQ35" s="1128"/>
      <c r="AR35" s="1128"/>
      <c r="AS35" s="1128"/>
      <c r="AT35" s="1128"/>
      <c r="AU35" s="1128"/>
      <c r="AV35" s="1128"/>
      <c r="AW35" s="1119"/>
      <c r="AX35" s="801"/>
      <c r="AY35" s="1108"/>
      <c r="AZ35" s="1035"/>
      <c r="BA35" s="1036"/>
      <c r="BB35" s="826"/>
      <c r="BC35" s="1032"/>
      <c r="BD35" s="1030"/>
      <c r="BP35" s="408"/>
      <c r="BT35" s="389"/>
      <c r="BU35" s="474"/>
      <c r="CF35" s="1326"/>
      <c r="CG35" s="883"/>
      <c r="CH35" s="883"/>
      <c r="CI35" s="883"/>
      <c r="CJ35" s="1392"/>
      <c r="CK35" s="1393"/>
      <c r="CL35" s="1384"/>
      <c r="CM35" s="1385"/>
      <c r="CN35" s="1384"/>
      <c r="CO35" s="1386"/>
      <c r="DD35" s="78"/>
      <c r="DE35" s="78"/>
      <c r="DF35" s="70"/>
      <c r="DH35" s="949" t="s">
        <v>190</v>
      </c>
      <c r="DI35" s="949"/>
      <c r="DJ35" s="949"/>
      <c r="DK35" s="949"/>
      <c r="DL35" s="954">
        <f>'Charges ovin'!C48</f>
        <v>0</v>
      </c>
      <c r="DM35" s="954"/>
      <c r="DY35" s="428"/>
      <c r="DZ35" s="961" t="s">
        <v>383</v>
      </c>
      <c r="EA35" s="961"/>
      <c r="EB35" s="961"/>
      <c r="EC35" s="988">
        <f>Calcule!AN9</f>
        <v>0</v>
      </c>
      <c r="EF35" s="949" t="s">
        <v>285</v>
      </c>
      <c r="EG35" s="949"/>
      <c r="EH35" s="949"/>
      <c r="EI35" s="949"/>
      <c r="EJ35" s="978">
        <f>'Charges de structure'!C33</f>
        <v>0</v>
      </c>
      <c r="EK35" s="978"/>
      <c r="EU35" s="926" t="str">
        <f>IF(EZ35=0,"",'Autres atelier'!C$2)</f>
        <v/>
      </c>
      <c r="EV35" s="926"/>
      <c r="EW35" s="926"/>
      <c r="EX35" s="952">
        <f>'Autres atelier'!C14</f>
        <v>0</v>
      </c>
      <c r="EY35" s="952">
        <f>'Autres atelier'!C26</f>
        <v>0</v>
      </c>
      <c r="EZ35" s="924">
        <f>'Autres atelier'!C28</f>
        <v>0</v>
      </c>
      <c r="FA35" s="924"/>
      <c r="FB35" s="141"/>
      <c r="FD35" s="929"/>
      <c r="FE35" s="929"/>
      <c r="FF35" s="929"/>
      <c r="FG35" s="929"/>
      <c r="FH35" s="929"/>
      <c r="FI35" s="1334"/>
      <c r="FJ35" s="1334"/>
      <c r="GR35" s="1213" t="s">
        <v>632</v>
      </c>
      <c r="GS35" s="1214"/>
      <c r="GT35" s="1214"/>
      <c r="GU35" s="1214"/>
      <c r="GV35" s="1215"/>
      <c r="GW35" s="416"/>
      <c r="GX35" s="416"/>
      <c r="GY35" s="416"/>
      <c r="GZ35" s="416"/>
      <c r="HA35" s="416"/>
      <c r="HB35" s="416"/>
      <c r="HC35" s="412">
        <f>FQ19</f>
        <v>0</v>
      </c>
      <c r="HD35" s="239" t="e">
        <f>HLOOKUP(Exploitation!B12,Références!D18:N55,32,FALSE)</f>
        <v>#N/A</v>
      </c>
      <c r="HE35" s="226"/>
    </row>
    <row r="36" spans="1:213" ht="9.75" customHeight="1" thickBot="1" x14ac:dyDescent="0.55000000000000004">
      <c r="I36" s="855" t="s">
        <v>633</v>
      </c>
      <c r="J36" s="855"/>
      <c r="K36" s="855"/>
      <c r="L36" s="855"/>
      <c r="M36" s="1497" t="e">
        <f>HC22</f>
        <v>#DIV/0!</v>
      </c>
      <c r="N36" s="845"/>
      <c r="O36" s="1481" t="e">
        <f>HD22</f>
        <v>#N/A</v>
      </c>
      <c r="P36" s="802"/>
      <c r="AG36" s="61"/>
      <c r="AH36" s="71"/>
      <c r="AI36" s="71"/>
      <c r="AJ36" s="71"/>
      <c r="AK36" s="71"/>
      <c r="AL36" s="71"/>
      <c r="AM36" s="71"/>
      <c r="AN36" s="71"/>
      <c r="AO36" s="71"/>
      <c r="AP36" s="71"/>
      <c r="AQ36" s="71"/>
      <c r="AR36" s="71"/>
      <c r="AS36" s="71"/>
      <c r="AT36" s="71"/>
      <c r="AU36" s="71"/>
      <c r="AV36" s="71"/>
      <c r="AW36" s="1400" t="s">
        <v>647</v>
      </c>
      <c r="AX36" s="1401"/>
      <c r="AY36" s="1402"/>
      <c r="AZ36" s="1035">
        <f>Calcule!I18</f>
        <v>0</v>
      </c>
      <c r="BA36" s="1036" t="e">
        <f>AZ36/AZ$43</f>
        <v>#DIV/0!</v>
      </c>
      <c r="BB36" s="826" t="str">
        <f>IF(AZ36=0,"",Calcule!I19/AZ36)</f>
        <v/>
      </c>
      <c r="BC36" s="1032" t="str">
        <f>IF(AZ36=0,"",Calcule!I20/Calcule!I19)</f>
        <v/>
      </c>
      <c r="BD36" s="1030" t="str">
        <f>IF(AZ36=0,"",Calcule!I20/Calcule!I18)</f>
        <v/>
      </c>
      <c r="BP36" s="408"/>
      <c r="BT36" s="389"/>
      <c r="BU36" s="474"/>
      <c r="CF36" s="876" t="s">
        <v>175</v>
      </c>
      <c r="CG36" s="877"/>
      <c r="CH36" s="884" t="s">
        <v>620</v>
      </c>
      <c r="CI36" s="884"/>
      <c r="CJ36" s="914" t="e">
        <f>('Stock et ration '!H12*1000)/' Elevage'!P3</f>
        <v>#DIV/0!</v>
      </c>
      <c r="CK36" s="915"/>
      <c r="CL36" s="1387" t="e">
        <f>(('Charges ovin'!C4+'Charges ovin'!C6)/(('Charges ovin'!C5+'Charges ovin'!C7)*1000))*CJ36</f>
        <v>#DIV/0!</v>
      </c>
      <c r="CM36" s="1388"/>
      <c r="CN36" s="1387" t="e">
        <f>(CL36*' Elevage'!P3)/Calcule!AU52</f>
        <v>#DIV/0!</v>
      </c>
      <c r="CO36" s="1389"/>
      <c r="DD36" s="78"/>
      <c r="DE36" s="78"/>
      <c r="DF36" s="70"/>
      <c r="DH36" s="949" t="s">
        <v>191</v>
      </c>
      <c r="DI36" s="949"/>
      <c r="DJ36" s="949"/>
      <c r="DK36" s="949"/>
      <c r="DL36" s="954">
        <f>'Charges ovin'!C49</f>
        <v>0</v>
      </c>
      <c r="DM36" s="954"/>
      <c r="DY36" s="429"/>
      <c r="DZ36" s="962"/>
      <c r="EA36" s="962"/>
      <c r="EB36" s="962"/>
      <c r="EC36" s="989"/>
      <c r="EF36" s="949" t="s">
        <v>286</v>
      </c>
      <c r="EG36" s="949"/>
      <c r="EH36" s="949"/>
      <c r="EI36" s="949"/>
      <c r="EJ36" s="978">
        <f>'Charges de structure'!C34</f>
        <v>0</v>
      </c>
      <c r="EK36" s="978"/>
      <c r="EU36" s="927"/>
      <c r="EV36" s="927"/>
      <c r="EW36" s="927"/>
      <c r="EX36" s="953"/>
      <c r="EY36" s="953"/>
      <c r="EZ36" s="925"/>
      <c r="FA36" s="925"/>
      <c r="FB36" s="141"/>
      <c r="FE36" s="1316" t="s">
        <v>635</v>
      </c>
      <c r="FF36" s="1316">
        <f>Aides!B3</f>
        <v>0</v>
      </c>
      <c r="FG36" s="1316" t="s">
        <v>636</v>
      </c>
      <c r="FH36" s="1314" t="e">
        <f>Aides!C3</f>
        <v>#DIV/0!</v>
      </c>
      <c r="FI36" s="1334"/>
      <c r="FJ36" s="1334"/>
      <c r="FK36" s="1336" t="s">
        <v>637</v>
      </c>
      <c r="FL36" s="1337"/>
      <c r="FM36" s="1338"/>
      <c r="FN36" s="938">
        <f>'Charges de structure'!C45+'Charges de structure'!C46+'Charges de structure'!C43</f>
        <v>0</v>
      </c>
      <c r="FO36" s="939"/>
      <c r="FR36" s="1212" t="s">
        <v>396</v>
      </c>
      <c r="FS36" s="1212"/>
      <c r="FT36" s="1212"/>
      <c r="FU36" s="938">
        <f>'Charges de structure'!C46+'Charges de structure'!C43</f>
        <v>0</v>
      </c>
      <c r="FV36" s="939"/>
      <c r="GR36" s="1213" t="s">
        <v>638</v>
      </c>
      <c r="GS36" s="1214"/>
      <c r="GT36" s="1214"/>
      <c r="GU36" s="1214"/>
      <c r="GV36" s="1215"/>
      <c r="GW36" s="416"/>
      <c r="GX36" s="416"/>
      <c r="GY36" s="416"/>
      <c r="GZ36" s="416"/>
      <c r="HA36" s="416"/>
      <c r="HB36" s="416"/>
      <c r="HC36" s="412">
        <f>FQ30</f>
        <v>0</v>
      </c>
      <c r="HD36" s="239" t="e">
        <f>HLOOKUP(Exploitation!B12,Références!D18:N55,33,FALSE)</f>
        <v>#N/A</v>
      </c>
      <c r="HE36" s="226"/>
    </row>
    <row r="37" spans="1:213" ht="9.75" customHeight="1" thickBot="1" x14ac:dyDescent="0.55000000000000004">
      <c r="A37" s="802" t="s">
        <v>639</v>
      </c>
      <c r="B37" s="802"/>
      <c r="C37" s="802"/>
      <c r="D37" s="846">
        <f>Exploitation!B28</f>
        <v>0</v>
      </c>
      <c r="E37" s="845"/>
      <c r="F37" s="845"/>
      <c r="G37" s="845"/>
      <c r="I37" s="855"/>
      <c r="J37" s="855"/>
      <c r="K37" s="855"/>
      <c r="L37" s="855"/>
      <c r="M37" s="1479"/>
      <c r="N37" s="845"/>
      <c r="O37" s="802"/>
      <c r="P37" s="802"/>
      <c r="AW37" s="1400"/>
      <c r="AX37" s="1401"/>
      <c r="AY37" s="1402"/>
      <c r="AZ37" s="1035"/>
      <c r="BA37" s="1036"/>
      <c r="BB37" s="826"/>
      <c r="BC37" s="1032"/>
      <c r="BD37" s="1030"/>
      <c r="BM37" s="1085" t="s">
        <v>146</v>
      </c>
      <c r="BN37" s="1086"/>
      <c r="BO37" s="1086"/>
      <c r="BP37" s="465">
        <f>SUM(BP38:BP41)</f>
        <v>0</v>
      </c>
      <c r="BQ37" s="466">
        <f>IF(BP37=0,,(BP38*BQ38+BP39*BQ39+BP40*BQ40+BP41*BQ41)/BP37)</f>
        <v>0</v>
      </c>
      <c r="BR37" s="467">
        <f>IF(BP37=0,,BT37/(BP37*BQ37))</f>
        <v>0</v>
      </c>
      <c r="BS37" s="468">
        <f>IF(BP37=0,,BT37/BP37)</f>
        <v>0</v>
      </c>
      <c r="BT37" s="468">
        <f>SUM(BT38:BT41)</f>
        <v>0</v>
      </c>
      <c r="BU37" s="471" t="str">
        <f>IF(BP37=0,"",(BP38*BU38+BP39*BU39+BP40*BU40+BP41*BU41)/BP37)</f>
        <v/>
      </c>
      <c r="CF37" s="878"/>
      <c r="CG37" s="879"/>
      <c r="CH37" s="802"/>
      <c r="CI37" s="802"/>
      <c r="CJ37" s="891"/>
      <c r="CK37" s="892"/>
      <c r="CL37" s="936"/>
      <c r="CM37" s="1313"/>
      <c r="CN37" s="936"/>
      <c r="CO37" s="937"/>
      <c r="DD37" s="78"/>
      <c r="DE37" s="78"/>
      <c r="DF37" s="70"/>
      <c r="DH37" s="949" t="s">
        <v>192</v>
      </c>
      <c r="DI37" s="949"/>
      <c r="DJ37" s="949"/>
      <c r="DK37" s="949"/>
      <c r="DL37" s="954">
        <f>'Charges ovin'!C50</f>
        <v>0</v>
      </c>
      <c r="DM37" s="954"/>
      <c r="EF37" s="949" t="s">
        <v>287</v>
      </c>
      <c r="EG37" s="949"/>
      <c r="EH37" s="949"/>
      <c r="EI37" s="949"/>
      <c r="EJ37" s="978">
        <f>'Charges de structure'!C36</f>
        <v>0</v>
      </c>
      <c r="EK37" s="978"/>
      <c r="EU37" s="926" t="str">
        <f>IF(EZ37=0,"",'Autres atelier'!K$2)</f>
        <v/>
      </c>
      <c r="EV37" s="926"/>
      <c r="EW37" s="926"/>
      <c r="EX37" s="952">
        <f>'Autres atelier'!K14</f>
        <v>0</v>
      </c>
      <c r="EY37" s="952">
        <f>'Autres atelier'!K26</f>
        <v>0</v>
      </c>
      <c r="EZ37" s="924">
        <f>'Autres atelier'!K28</f>
        <v>0</v>
      </c>
      <c r="FA37" s="924"/>
      <c r="FB37" s="141"/>
      <c r="FE37" s="1316"/>
      <c r="FF37" s="1316"/>
      <c r="FG37" s="1317"/>
      <c r="FH37" s="1315"/>
      <c r="FI37" s="1335"/>
      <c r="FJ37" s="1335"/>
      <c r="FK37" s="1339"/>
      <c r="FL37" s="1340"/>
      <c r="FM37" s="1341"/>
      <c r="FN37" s="940"/>
      <c r="FO37" s="941"/>
      <c r="FR37" s="1212"/>
      <c r="FS37" s="1212"/>
      <c r="FT37" s="1212"/>
      <c r="FU37" s="940"/>
      <c r="FV37" s="941"/>
      <c r="GR37" s="1213" t="s">
        <v>640</v>
      </c>
      <c r="GS37" s="1214"/>
      <c r="GT37" s="1214"/>
      <c r="GU37" s="1214"/>
      <c r="GV37" s="1215"/>
      <c r="GW37" s="416"/>
      <c r="GX37" s="416"/>
      <c r="GY37" s="416"/>
      <c r="GZ37" s="416"/>
      <c r="HA37" s="416"/>
      <c r="HB37" s="416"/>
      <c r="HC37" s="413">
        <f>FU47</f>
        <v>0</v>
      </c>
      <c r="HD37" s="239" t="e">
        <f>HLOOKUP(Exploitation!B12,Références!D18:N55,34,FALSE)</f>
        <v>#N/A</v>
      </c>
      <c r="HE37" s="226"/>
    </row>
    <row r="38" spans="1:213" ht="9.75" customHeight="1" x14ac:dyDescent="0.5">
      <c r="A38" s="802"/>
      <c r="B38" s="802"/>
      <c r="C38" s="802"/>
      <c r="D38" s="845"/>
      <c r="E38" s="845"/>
      <c r="F38" s="845"/>
      <c r="G38" s="845"/>
      <c r="I38" s="855" t="s">
        <v>641</v>
      </c>
      <c r="J38" s="855"/>
      <c r="K38" s="855"/>
      <c r="L38" s="855"/>
      <c r="M38" s="1489">
        <f>HC17</f>
        <v>0</v>
      </c>
      <c r="N38" s="845"/>
      <c r="O38" s="1495" t="e">
        <f>HD17</f>
        <v>#N/A</v>
      </c>
      <c r="P38" s="802"/>
      <c r="AH38" s="1050" t="s">
        <v>642</v>
      </c>
      <c r="AI38" s="1051"/>
      <c r="AJ38" s="1475" t="s">
        <v>96</v>
      </c>
      <c r="AK38" s="1044" t="s">
        <v>97</v>
      </c>
      <c r="AL38" s="1044" t="s">
        <v>98</v>
      </c>
      <c r="AM38" s="1044" t="s">
        <v>99</v>
      </c>
      <c r="AN38" s="832" t="s">
        <v>100</v>
      </c>
      <c r="AO38" s="1044" t="s">
        <v>84</v>
      </c>
      <c r="AP38" s="1044" t="s">
        <v>101</v>
      </c>
      <c r="AQ38" s="1044" t="s">
        <v>102</v>
      </c>
      <c r="AR38" s="1062" t="s">
        <v>87</v>
      </c>
      <c r="AS38" s="1041" t="s">
        <v>643</v>
      </c>
      <c r="AT38" s="832" t="s">
        <v>644</v>
      </c>
      <c r="AU38" s="837" t="s">
        <v>645</v>
      </c>
      <c r="AV38" s="841" t="s">
        <v>646</v>
      </c>
      <c r="AW38" s="1027" t="s">
        <v>654</v>
      </c>
      <c r="AX38" s="1028"/>
      <c r="AY38" s="1029"/>
      <c r="AZ38" s="1035">
        <f>Calcule!I21+Calcule!I24</f>
        <v>0</v>
      </c>
      <c r="BA38" s="1036" t="e">
        <f>AZ38/AZ$43</f>
        <v>#DIV/0!</v>
      </c>
      <c r="BB38" s="802" t="str">
        <f>IF(AZ38=0,"",(Calcule!I22+Calcule!I25)/AZ38)</f>
        <v/>
      </c>
      <c r="BC38" s="1032" t="str">
        <f>IF(AZ38=0,"",(Calcule!I23+Calcule!I26)/(Calcule!I22+Calcule!I25))</f>
        <v/>
      </c>
      <c r="BD38" s="1030" t="str">
        <f>IF(AZ38=0,"",(Calcule!I23+Calcule!I26)/(Calcule!I21+Calcule!I24))</f>
        <v/>
      </c>
      <c r="BM38" s="1125" t="s">
        <v>549</v>
      </c>
      <c r="BN38" s="1126"/>
      <c r="BO38" s="1127"/>
      <c r="BP38" s="450">
        <f>Calcule!H$3</f>
        <v>0</v>
      </c>
      <c r="BQ38" s="451">
        <f>IF(BP38=0,,Calcule!H$4/BP38)</f>
        <v>0</v>
      </c>
      <c r="BR38" s="453">
        <f>IF(BP38=0,,BT38/(BP38*BQ38))</f>
        <v>0</v>
      </c>
      <c r="BS38" s="452">
        <f>IF(BP38=0,,BT38/BP38)</f>
        <v>0</v>
      </c>
      <c r="BT38" s="452">
        <f>Calcule!H$5</f>
        <v>0</v>
      </c>
      <c r="BU38" s="475">
        <f>Calcule!P24</f>
        <v>0</v>
      </c>
      <c r="CF38" s="878"/>
      <c r="CG38" s="879"/>
      <c r="CH38" s="802" t="s">
        <v>624</v>
      </c>
      <c r="CI38" s="802"/>
      <c r="CJ38" s="889" t="e">
        <f>('Stock et ration '!H10*1000)/' Elevage'!P3</f>
        <v>#DIV/0!</v>
      </c>
      <c r="CK38" s="890"/>
      <c r="CL38" s="930" t="e">
        <f>('Charges ovin'!C9/('Charges ovin'!C10*1000))*'Bilan complet'!CJ38</f>
        <v>#DIV/0!</v>
      </c>
      <c r="CM38" s="931"/>
      <c r="CN38" s="934" t="e">
        <f>(CL38*' Elevage'!P3)/Calcule!AU52</f>
        <v>#DIV/0!</v>
      </c>
      <c r="CO38" s="935"/>
      <c r="DF38" s="70"/>
      <c r="DH38" s="949" t="s">
        <v>193</v>
      </c>
      <c r="DI38" s="949"/>
      <c r="DJ38" s="949"/>
      <c r="DK38" s="949"/>
      <c r="DL38" s="954">
        <f>'Charges ovin'!C51</f>
        <v>0</v>
      </c>
      <c r="DM38" s="954"/>
      <c r="EE38" s="360"/>
      <c r="EF38" s="945" t="s">
        <v>648</v>
      </c>
      <c r="EG38" s="945"/>
      <c r="EH38" s="945"/>
      <c r="EI38" s="945"/>
      <c r="EJ38" s="964">
        <f>'Charges de structure'!C38</f>
        <v>0</v>
      </c>
      <c r="EK38" s="964"/>
      <c r="EU38" s="927"/>
      <c r="EV38" s="927"/>
      <c r="EW38" s="927"/>
      <c r="EX38" s="953"/>
      <c r="EY38" s="953"/>
      <c r="EZ38" s="925"/>
      <c r="FA38" s="925"/>
      <c r="FB38" s="141"/>
      <c r="FD38" s="928" t="s">
        <v>311</v>
      </c>
      <c r="FE38" s="928"/>
      <c r="FF38" s="928"/>
      <c r="FG38" s="928"/>
      <c r="FH38" s="928"/>
      <c r="FI38" s="965">
        <f>Aides!D4</f>
        <v>0</v>
      </c>
      <c r="FJ38" s="965"/>
      <c r="FK38" s="1342"/>
      <c r="FL38" s="1343"/>
      <c r="FM38" s="1344"/>
      <c r="FN38" s="942"/>
      <c r="FO38" s="943"/>
      <c r="FR38" s="1212"/>
      <c r="FS38" s="1212"/>
      <c r="FT38" s="1212"/>
      <c r="FU38" s="942"/>
      <c r="FV38" s="943"/>
      <c r="GR38" s="1213" t="s">
        <v>649</v>
      </c>
      <c r="GS38" s="1214"/>
      <c r="GT38" s="1214"/>
      <c r="GU38" s="1214"/>
      <c r="GV38" s="1215"/>
      <c r="GW38" s="417"/>
      <c r="GX38" s="417"/>
      <c r="GY38" s="417"/>
      <c r="GZ38" s="417"/>
      <c r="HA38" s="417"/>
      <c r="HB38" s="417"/>
      <c r="HC38" s="414" t="e">
        <f>FN41</f>
        <v>#DIV/0!</v>
      </c>
      <c r="HD38" s="239" t="e">
        <f>HLOOKUP(Exploitation!B12,Références!D18:N55,35,FALSE)</f>
        <v>#N/A</v>
      </c>
      <c r="HE38" s="226"/>
    </row>
    <row r="39" spans="1:213" ht="9.75" customHeight="1" x14ac:dyDescent="0.5">
      <c r="I39" s="855"/>
      <c r="J39" s="855"/>
      <c r="K39" s="855"/>
      <c r="L39" s="855"/>
      <c r="M39" s="1479"/>
      <c r="N39" s="845"/>
      <c r="O39" s="802"/>
      <c r="P39" s="802"/>
      <c r="AH39" s="1052"/>
      <c r="AI39" s="1053"/>
      <c r="AJ39" s="1476"/>
      <c r="AK39" s="1045"/>
      <c r="AL39" s="1045"/>
      <c r="AM39" s="1045"/>
      <c r="AN39" s="833"/>
      <c r="AO39" s="1045"/>
      <c r="AP39" s="1045"/>
      <c r="AQ39" s="1045"/>
      <c r="AR39" s="1063"/>
      <c r="AS39" s="1042"/>
      <c r="AT39" s="833"/>
      <c r="AU39" s="838"/>
      <c r="AV39" s="842"/>
      <c r="AW39" s="1027"/>
      <c r="AX39" s="1028"/>
      <c r="AY39" s="1029"/>
      <c r="AZ39" s="1035"/>
      <c r="BA39" s="1036"/>
      <c r="BB39" s="802"/>
      <c r="BC39" s="1032"/>
      <c r="BD39" s="1030"/>
      <c r="BM39" s="1094" t="s">
        <v>551</v>
      </c>
      <c r="BN39" s="1095"/>
      <c r="BO39" s="1096"/>
      <c r="BP39" s="450">
        <f>Calcule!H$6</f>
        <v>0</v>
      </c>
      <c r="BQ39" s="451">
        <f>IF(BP39=0,,Calcule!H$7/BP39)</f>
        <v>0</v>
      </c>
      <c r="BR39" s="453">
        <f>IF(BP39=0,,BT39/(BP39*BQ39))</f>
        <v>0</v>
      </c>
      <c r="BS39" s="452">
        <f>IF(BP39=0,,BT39/BP39)</f>
        <v>0</v>
      </c>
      <c r="BT39" s="452">
        <f>Calcule!H$8</f>
        <v>0</v>
      </c>
      <c r="BU39" s="475">
        <f>Calcule!Q24</f>
        <v>0</v>
      </c>
      <c r="CF39" s="878"/>
      <c r="CG39" s="879"/>
      <c r="CH39" s="802"/>
      <c r="CI39" s="802"/>
      <c r="CJ39" s="891"/>
      <c r="CK39" s="892"/>
      <c r="CL39" s="932"/>
      <c r="CM39" s="933"/>
      <c r="CN39" s="936"/>
      <c r="CO39" s="937"/>
      <c r="CZ39" s="69"/>
      <c r="DA39" s="69"/>
      <c r="DB39" s="69"/>
      <c r="DC39" s="69"/>
      <c r="DD39" s="79"/>
      <c r="DE39" s="79"/>
      <c r="DH39" s="949" t="s">
        <v>194</v>
      </c>
      <c r="DI39" s="949"/>
      <c r="DJ39" s="949"/>
      <c r="DK39" s="949"/>
      <c r="DL39" s="954">
        <f>'Charges ovin'!C52</f>
        <v>0</v>
      </c>
      <c r="DM39" s="954"/>
      <c r="DZ39" s="360"/>
      <c r="EA39" s="360"/>
      <c r="EB39" s="360"/>
      <c r="EC39" s="360"/>
      <c r="EE39" s="378"/>
      <c r="EF39" s="946" t="s">
        <v>650</v>
      </c>
      <c r="EG39" s="946"/>
      <c r="EH39" s="946"/>
      <c r="EI39" s="946"/>
      <c r="EJ39" s="971">
        <f>EJ31+EJ26+EJ22+EJ20+EJ16+EJ10+EJ5</f>
        <v>0</v>
      </c>
      <c r="EK39" s="971"/>
      <c r="EU39" s="926" t="str">
        <f>IF(EZ39=0,"",'Autres atelier'!S$2)</f>
        <v/>
      </c>
      <c r="EV39" s="926"/>
      <c r="EW39" s="926"/>
      <c r="EX39" s="952">
        <f>'Autres atelier'!S14</f>
        <v>0</v>
      </c>
      <c r="EY39" s="952">
        <f>'Autres atelier'!S26</f>
        <v>0</v>
      </c>
      <c r="EZ39" s="924">
        <f>'Autres atelier'!S28</f>
        <v>0</v>
      </c>
      <c r="FA39" s="924"/>
      <c r="FB39" s="141"/>
      <c r="FD39" s="929"/>
      <c r="FE39" s="929"/>
      <c r="FF39" s="929"/>
      <c r="FG39" s="929"/>
      <c r="FH39" s="929"/>
      <c r="FI39" s="965"/>
      <c r="FJ39" s="965"/>
      <c r="GR39" s="1213" t="s">
        <v>651</v>
      </c>
      <c r="GS39" s="1214"/>
      <c r="GT39" s="1214"/>
      <c r="GU39" s="1214"/>
      <c r="GV39" s="1215"/>
      <c r="GW39" s="415"/>
      <c r="GX39" s="415"/>
      <c r="GY39" s="415"/>
      <c r="GZ39" s="415"/>
      <c r="HA39" s="415"/>
      <c r="HB39" s="415"/>
      <c r="HC39" s="236" t="str">
        <f>FY18</f>
        <v/>
      </c>
      <c r="HD39" s="238" t="e">
        <f>HLOOKUP(Exploitation!B12,Références!D18:N55,36,FALSE)</f>
        <v>#N/A</v>
      </c>
      <c r="HE39" s="226"/>
    </row>
    <row r="40" spans="1:213" ht="9.75" customHeight="1" thickBot="1" x14ac:dyDescent="0.55000000000000004">
      <c r="A40" s="845" t="s">
        <v>652</v>
      </c>
      <c r="B40" s="845"/>
      <c r="C40" s="845"/>
      <c r="D40" s="846">
        <f>Exploitation!B12</f>
        <v>0</v>
      </c>
      <c r="E40" s="845"/>
      <c r="F40" s="845"/>
      <c r="G40" s="845"/>
      <c r="I40" s="855" t="s">
        <v>653</v>
      </c>
      <c r="J40" s="855"/>
      <c r="K40" s="855"/>
      <c r="L40" s="855"/>
      <c r="M40" s="1489">
        <f>HC19</f>
        <v>0</v>
      </c>
      <c r="N40" s="845"/>
      <c r="O40" s="1495" t="e">
        <f>HD19</f>
        <v>#N/A</v>
      </c>
      <c r="P40" s="802"/>
      <c r="AH40" s="1054"/>
      <c r="AI40" s="1055"/>
      <c r="AJ40" s="1477"/>
      <c r="AK40" s="1046"/>
      <c r="AL40" s="1046"/>
      <c r="AM40" s="1046"/>
      <c r="AN40" s="834"/>
      <c r="AO40" s="1046"/>
      <c r="AP40" s="1046"/>
      <c r="AQ40" s="1046"/>
      <c r="AR40" s="1064"/>
      <c r="AS40" s="1043"/>
      <c r="AT40" s="834"/>
      <c r="AU40" s="839"/>
      <c r="AV40" s="843"/>
      <c r="AW40" s="1021" t="s">
        <v>662</v>
      </c>
      <c r="AX40" s="1022"/>
      <c r="AY40" s="1023"/>
      <c r="AZ40" s="1035">
        <f>Calcule!I27+Calcule!I30</f>
        <v>0</v>
      </c>
      <c r="BA40" s="1036" t="e">
        <f>AZ40/AZ$43</f>
        <v>#DIV/0!</v>
      </c>
      <c r="BB40" s="826" t="str">
        <f>IF(AZ40=0,"",(Calcule!I28+Calcule!I31)/AZ40)</f>
        <v/>
      </c>
      <c r="BC40" s="1032" t="str">
        <f>IF(AZ40=0,"",(Calcule!I29+Calcule!I32)/(Calcule!I28+Calcule!I31))</f>
        <v/>
      </c>
      <c r="BD40" s="1030" t="str">
        <f>IF(AZ40=0,"",(Calcule!I29+Calcule!I32)/(Calcule!I27+Calcule!I30))</f>
        <v/>
      </c>
      <c r="BM40" s="1172" t="s">
        <v>556</v>
      </c>
      <c r="BN40" s="1173"/>
      <c r="BO40" s="1174"/>
      <c r="BP40" s="450">
        <f>Calcule!H$9</f>
        <v>0</v>
      </c>
      <c r="BQ40" s="451">
        <f>IF(BP40=0,,Calcule!H$10/BP40)</f>
        <v>0</v>
      </c>
      <c r="BR40" s="453">
        <f>IF(BP40=0,,BT40/(BP40*BQ40))</f>
        <v>0</v>
      </c>
      <c r="BS40" s="452">
        <f>IF(BP40=0,,BT40/BP40)</f>
        <v>0</v>
      </c>
      <c r="BT40" s="452">
        <f>Calcule!H$11</f>
        <v>0</v>
      </c>
      <c r="BU40" s="475">
        <f>Calcule!R24</f>
        <v>0</v>
      </c>
      <c r="CF40" s="878"/>
      <c r="CG40" s="879"/>
      <c r="CH40" s="879" t="s">
        <v>155</v>
      </c>
      <c r="CI40" s="879"/>
      <c r="CJ40" s="1322" t="e">
        <f>SUM(CJ36:CK39)</f>
        <v>#DIV/0!</v>
      </c>
      <c r="CK40" s="1323"/>
      <c r="CL40" s="900" t="e">
        <f>SUM(CL36:CM39)</f>
        <v>#DIV/0!</v>
      </c>
      <c r="CM40" s="901"/>
      <c r="CN40" s="900" t="e">
        <f>SUM(CN36:CO39)</f>
        <v>#DIV/0!</v>
      </c>
      <c r="CO40" s="904"/>
      <c r="CZ40" s="996" t="s">
        <v>655</v>
      </c>
      <c r="DA40" s="996"/>
      <c r="DB40" s="996"/>
      <c r="DC40" s="996"/>
      <c r="DD40" s="882">
        <f>DD25+DD31</f>
        <v>0</v>
      </c>
      <c r="DE40" s="882"/>
      <c r="DF40" s="70"/>
      <c r="DH40" s="995" t="s">
        <v>656</v>
      </c>
      <c r="DI40" s="995"/>
      <c r="DJ40" s="995"/>
      <c r="DK40" s="995"/>
      <c r="DL40" s="950">
        <f>DL31+DL27+DL25+DL23+DL21+DL15+DL6+DL29</f>
        <v>0</v>
      </c>
      <c r="DM40" s="950"/>
      <c r="DY40" s="430"/>
      <c r="DZ40" s="992" t="s">
        <v>657</v>
      </c>
      <c r="EA40" s="992"/>
      <c r="EB40" s="992"/>
      <c r="EC40" s="971">
        <f>IF('Bilan complet'!AU7=0,0,DG48/AU7)</f>
        <v>0</v>
      </c>
      <c r="ED40" s="390"/>
      <c r="EF40" s="947"/>
      <c r="EG40" s="947"/>
      <c r="EH40" s="947"/>
      <c r="EI40" s="947"/>
      <c r="EJ40" s="977"/>
      <c r="EK40" s="977"/>
      <c r="EU40" s="927"/>
      <c r="EV40" s="927"/>
      <c r="EW40" s="927"/>
      <c r="EX40" s="953"/>
      <c r="EY40" s="953"/>
      <c r="EZ40" s="925"/>
      <c r="FA40" s="925"/>
      <c r="FB40" s="141"/>
      <c r="FD40" s="928" t="s">
        <v>313</v>
      </c>
      <c r="FE40" s="928"/>
      <c r="FF40" s="928"/>
      <c r="FG40" s="928"/>
      <c r="FH40" s="928"/>
      <c r="FI40" s="966">
        <f>Aides!D5</f>
        <v>0</v>
      </c>
      <c r="FJ40" s="966"/>
      <c r="GR40" s="1213" t="s">
        <v>658</v>
      </c>
      <c r="GS40" s="1214"/>
      <c r="GT40" s="1214"/>
      <c r="GU40" s="1214"/>
      <c r="GV40" s="1215"/>
      <c r="GW40" s="138"/>
      <c r="GX40" s="138"/>
      <c r="GY40" s="138"/>
      <c r="GZ40" s="138"/>
      <c r="HA40" s="138"/>
      <c r="HB40" s="138"/>
      <c r="HC40" s="233" t="str">
        <f>FY21</f>
        <v/>
      </c>
      <c r="HD40" s="238" t="e">
        <f>HLOOKUP(Exploitation!B12,Références!D18:N55,37,FALSE)</f>
        <v>#N/A</v>
      </c>
      <c r="HE40" s="226"/>
    </row>
    <row r="41" spans="1:213" ht="9.75" customHeight="1" thickBot="1" x14ac:dyDescent="0.55000000000000004">
      <c r="A41" s="845"/>
      <c r="B41" s="845"/>
      <c r="C41" s="845"/>
      <c r="D41" s="845"/>
      <c r="E41" s="845"/>
      <c r="F41" s="845"/>
      <c r="G41" s="845"/>
      <c r="I41" s="855"/>
      <c r="J41" s="855"/>
      <c r="K41" s="855"/>
      <c r="L41" s="855"/>
      <c r="M41" s="1479"/>
      <c r="N41" s="845"/>
      <c r="O41" s="802"/>
      <c r="P41" s="802"/>
      <c r="AG41" s="1320" t="s">
        <v>103</v>
      </c>
      <c r="AH41" s="1059" t="str">
        <f>IF(' Elevage'!C16=0,"",' Elevage'!C16)</f>
        <v/>
      </c>
      <c r="AI41" s="1060" t="str">
        <f>IF(' Elevage'!D16=0,"",' Elevage'!D16)</f>
        <v/>
      </c>
      <c r="AJ41" s="1061" t="str">
        <f>IF(' Elevage'!E16=0,"",' Elevage'!E16)</f>
        <v/>
      </c>
      <c r="AK41" s="809">
        <f>' Elevage'!F16</f>
        <v>0</v>
      </c>
      <c r="AL41" s="1492">
        <f>' Elevage'!G16</f>
        <v>0</v>
      </c>
      <c r="AM41" s="809">
        <f>' Elevage'!H16</f>
        <v>0</v>
      </c>
      <c r="AN41" s="1492">
        <f>' Elevage'!I16</f>
        <v>0</v>
      </c>
      <c r="AO41" s="809">
        <f>' Elevage'!J16</f>
        <v>0</v>
      </c>
      <c r="AP41" s="809">
        <f>' Elevage'!K16</f>
        <v>0</v>
      </c>
      <c r="AQ41" s="1038">
        <f>' Elevage'!L16</f>
        <v>0</v>
      </c>
      <c r="AR41" s="828">
        <f>' Elevage'!M16</f>
        <v>0</v>
      </c>
      <c r="AS41" s="1488" t="str">
        <f>IF(AJ41="","",AK41/AJ41)</f>
        <v/>
      </c>
      <c r="AT41" s="835" t="str">
        <f>IF(AK41=0,"",AL41/AK41)</f>
        <v/>
      </c>
      <c r="AU41" s="840" t="str">
        <f>IF(AL41=0,"",AM41/AL41)</f>
        <v/>
      </c>
      <c r="AV41" s="844" t="str">
        <f>IF(AJ41="","",AN41/AJ41)</f>
        <v/>
      </c>
      <c r="AW41" s="1024"/>
      <c r="AX41" s="1025"/>
      <c r="AY41" s="1026"/>
      <c r="AZ41" s="1416"/>
      <c r="BA41" s="1037"/>
      <c r="BB41" s="1034"/>
      <c r="BC41" s="1033"/>
      <c r="BD41" s="1031"/>
      <c r="BM41" s="1143" t="s">
        <v>559</v>
      </c>
      <c r="BN41" s="1144"/>
      <c r="BO41" s="1145"/>
      <c r="BP41" s="461">
        <f>Calcule!H$12</f>
        <v>0</v>
      </c>
      <c r="BQ41" s="462">
        <f>IF(BP41=0,,Calcule!H$13/BP41)</f>
        <v>0</v>
      </c>
      <c r="BR41" s="463">
        <f>IF(BP41=0,,BT41/(BP41*BQ41))</f>
        <v>0</v>
      </c>
      <c r="BS41" s="464">
        <f>IF(BP41=0,,BT41/BP41)</f>
        <v>0</v>
      </c>
      <c r="BT41" s="464">
        <f>Calcule!H$14</f>
        <v>0</v>
      </c>
      <c r="BU41" s="476">
        <f>Calcule!S24</f>
        <v>0</v>
      </c>
      <c r="CF41" s="880"/>
      <c r="CG41" s="881"/>
      <c r="CH41" s="881"/>
      <c r="CI41" s="881"/>
      <c r="CJ41" s="1324"/>
      <c r="CK41" s="1325"/>
      <c r="CL41" s="902"/>
      <c r="CM41" s="903"/>
      <c r="CN41" s="902"/>
      <c r="CO41" s="905"/>
      <c r="CZ41" s="996"/>
      <c r="DA41" s="996"/>
      <c r="DB41" s="996"/>
      <c r="DC41" s="996"/>
      <c r="DD41" s="882"/>
      <c r="DE41" s="882"/>
      <c r="DF41" s="70"/>
      <c r="DH41" s="996"/>
      <c r="DI41" s="996"/>
      <c r="DJ41" s="996"/>
      <c r="DK41" s="996"/>
      <c r="DL41" s="951"/>
      <c r="DM41" s="951"/>
      <c r="DY41" s="430"/>
      <c r="DZ41" s="993"/>
      <c r="EA41" s="993"/>
      <c r="EB41" s="993"/>
      <c r="EC41" s="963"/>
      <c r="ED41" s="390"/>
      <c r="EE41" s="360"/>
      <c r="EF41" s="948"/>
      <c r="EG41" s="948"/>
      <c r="EH41" s="948"/>
      <c r="EI41" s="948"/>
      <c r="EJ41" s="972"/>
      <c r="EK41" s="972"/>
      <c r="EU41" s="926" t="str">
        <f>IF(EZ41=0,"",'Autres atelier'!AA$2)</f>
        <v/>
      </c>
      <c r="EV41" s="926"/>
      <c r="EW41" s="926"/>
      <c r="EX41" s="952">
        <f>'Autres atelier'!AA14</f>
        <v>0</v>
      </c>
      <c r="EY41" s="952">
        <f>'Autres atelier'!AA26</f>
        <v>0</v>
      </c>
      <c r="EZ41" s="924">
        <f>'Autres atelier'!AA28</f>
        <v>0</v>
      </c>
      <c r="FA41" s="924"/>
      <c r="FB41" s="141"/>
      <c r="FD41" s="929"/>
      <c r="FE41" s="929"/>
      <c r="FF41" s="929"/>
      <c r="FG41" s="929"/>
      <c r="FH41" s="929"/>
      <c r="FI41" s="967"/>
      <c r="FJ41" s="967"/>
      <c r="FK41" s="955" t="s">
        <v>659</v>
      </c>
      <c r="FL41" s="956"/>
      <c r="FM41" s="956"/>
      <c r="FN41" s="918" t="e">
        <f>(FQ30-FN36)/Exploitation!B17</f>
        <v>#DIV/0!</v>
      </c>
      <c r="FO41" s="919"/>
      <c r="GR41" s="1213" t="s">
        <v>660</v>
      </c>
      <c r="GS41" s="1214"/>
      <c r="GT41" s="1214"/>
      <c r="GU41" s="1214"/>
      <c r="GV41" s="1215"/>
      <c r="GW41" s="138"/>
      <c r="GX41" s="138"/>
      <c r="GY41" s="138"/>
      <c r="GZ41" s="138"/>
      <c r="HA41" s="138"/>
      <c r="HB41" s="138"/>
      <c r="HC41" s="233" t="str">
        <f>FY24</f>
        <v/>
      </c>
      <c r="HD41" s="238" t="e">
        <f>HLOOKUP(Exploitation!B12,Références!D18:N55,38,FALSE)</f>
        <v>#N/A</v>
      </c>
      <c r="HE41" s="226"/>
    </row>
    <row r="42" spans="1:213" ht="9.75" customHeight="1" thickBot="1" x14ac:dyDescent="0.55000000000000004">
      <c r="I42" s="855" t="s">
        <v>661</v>
      </c>
      <c r="J42" s="855"/>
      <c r="K42" s="855"/>
      <c r="L42" s="855"/>
      <c r="M42" s="1478" t="e">
        <f>HC25</f>
        <v>#DIV/0!</v>
      </c>
      <c r="N42" s="845"/>
      <c r="O42" s="1480" t="e">
        <f>HD25</f>
        <v>#N/A</v>
      </c>
      <c r="P42" s="802"/>
      <c r="AG42" s="1321"/>
      <c r="AH42" s="808"/>
      <c r="AI42" s="1056"/>
      <c r="AJ42" s="1058"/>
      <c r="AK42" s="810"/>
      <c r="AL42" s="854"/>
      <c r="AM42" s="810"/>
      <c r="AN42" s="854"/>
      <c r="AO42" s="810"/>
      <c r="AP42" s="810"/>
      <c r="AQ42" s="917"/>
      <c r="AR42" s="829"/>
      <c r="AS42" s="1404"/>
      <c r="AT42" s="836"/>
      <c r="AU42" s="806"/>
      <c r="AV42" s="825"/>
      <c r="BP42" s="408"/>
      <c r="BT42" s="389"/>
      <c r="BU42" s="474"/>
      <c r="CF42" s="876" t="s">
        <v>663</v>
      </c>
      <c r="CG42" s="877"/>
      <c r="CH42" s="884" t="s">
        <v>620</v>
      </c>
      <c r="CI42" s="884"/>
      <c r="CJ42" s="914">
        <f>'Stock et ration '!I5</f>
        <v>0</v>
      </c>
      <c r="CK42" s="915"/>
      <c r="CL42" s="1377" t="e">
        <f>(('Charges ovin'!C4+'Charges ovin'!C6)/(('Charges ovin'!C5+'Charges ovin'!C7)*1000))*CJ42</f>
        <v>#DIV/0!</v>
      </c>
      <c r="CM42" s="1378"/>
      <c r="CN42" s="997" t="e">
        <f>(CL42*' Elevage'!P3)/Calcule!AU52</f>
        <v>#DIV/0!</v>
      </c>
      <c r="CO42" s="998"/>
      <c r="CZ42" s="996"/>
      <c r="DA42" s="996"/>
      <c r="DB42" s="996"/>
      <c r="DC42" s="996"/>
      <c r="DD42" s="882"/>
      <c r="DE42" s="882"/>
      <c r="DF42" s="70"/>
      <c r="DH42" s="996"/>
      <c r="DI42" s="996"/>
      <c r="DJ42" s="996"/>
      <c r="DK42" s="996"/>
      <c r="DL42" s="951"/>
      <c r="DM42" s="951"/>
      <c r="DY42" s="430"/>
      <c r="DZ42" s="993"/>
      <c r="EA42" s="993"/>
      <c r="EB42" s="993"/>
      <c r="EC42" s="963"/>
      <c r="ED42" s="390"/>
      <c r="EE42" s="378"/>
      <c r="EF42" s="990" t="s">
        <v>396</v>
      </c>
      <c r="EG42" s="990"/>
      <c r="EH42" s="990"/>
      <c r="EI42" s="990"/>
      <c r="EJ42" s="971">
        <f>'Charges de structure'!C46+'Charges de structure'!C43</f>
        <v>0</v>
      </c>
      <c r="EK42" s="971"/>
      <c r="EU42" s="927"/>
      <c r="EV42" s="927"/>
      <c r="EW42" s="927"/>
      <c r="EX42" s="953"/>
      <c r="EY42" s="953"/>
      <c r="EZ42" s="925"/>
      <c r="FA42" s="925"/>
      <c r="FB42" s="141"/>
      <c r="FD42" s="1001" t="s">
        <v>314</v>
      </c>
      <c r="FE42" s="1001"/>
      <c r="FF42" s="1001"/>
      <c r="FG42" s="1001"/>
      <c r="FH42" s="1001"/>
      <c r="FI42" s="966">
        <f>Aides!D6</f>
        <v>0</v>
      </c>
      <c r="FJ42" s="966"/>
      <c r="FK42" s="957"/>
      <c r="FL42" s="958"/>
      <c r="FM42" s="958"/>
      <c r="FN42" s="920"/>
      <c r="FO42" s="921"/>
      <c r="FR42" s="1381" t="s">
        <v>664</v>
      </c>
      <c r="FS42" s="1381"/>
      <c r="FT42" s="1381"/>
      <c r="FU42" s="1216">
        <f>EJ44</f>
        <v>0</v>
      </c>
      <c r="FV42" s="1216"/>
    </row>
    <row r="43" spans="1:213" ht="9.75" customHeight="1" thickBot="1" x14ac:dyDescent="0.55000000000000004">
      <c r="A43" s="845" t="s">
        <v>45</v>
      </c>
      <c r="B43" s="845"/>
      <c r="C43" s="845"/>
      <c r="D43" s="846">
        <f>Exploitation!B29</f>
        <v>0</v>
      </c>
      <c r="E43" s="845"/>
      <c r="F43" s="845"/>
      <c r="G43" s="845"/>
      <c r="I43" s="855"/>
      <c r="J43" s="855"/>
      <c r="K43" s="855"/>
      <c r="L43" s="855"/>
      <c r="M43" s="1479"/>
      <c r="N43" s="845"/>
      <c r="O43" s="802"/>
      <c r="P43" s="802"/>
      <c r="AG43" s="856" t="s">
        <v>104</v>
      </c>
      <c r="AH43" s="807" t="str">
        <f>IF(' Elevage'!C17=0,"",' Elevage'!C17)</f>
        <v/>
      </c>
      <c r="AI43" s="858" t="str">
        <f>IF(' Elevage'!D17=0,"",' Elevage'!D17)</f>
        <v/>
      </c>
      <c r="AJ43" s="1057" t="str">
        <f>IF(' Elevage'!E17=0,"",' Elevage'!E17)</f>
        <v/>
      </c>
      <c r="AK43" s="851">
        <f>' Elevage'!F17</f>
        <v>0</v>
      </c>
      <c r="AL43" s="853">
        <f>' Elevage'!G17</f>
        <v>0</v>
      </c>
      <c r="AM43" s="851">
        <f>' Elevage'!H17</f>
        <v>0</v>
      </c>
      <c r="AN43" s="853">
        <f>' Elevage'!I17</f>
        <v>0</v>
      </c>
      <c r="AO43" s="851">
        <f>' Elevage'!J17</f>
        <v>0</v>
      </c>
      <c r="AP43" s="851">
        <f>' Elevage'!K17</f>
        <v>0</v>
      </c>
      <c r="AQ43" s="916">
        <f>' Elevage'!L17</f>
        <v>0</v>
      </c>
      <c r="AR43" s="849">
        <f>' Elevage'!M17</f>
        <v>0</v>
      </c>
      <c r="AS43" s="1403" t="str">
        <f t="shared" ref="AS43" si="1">IF(AJ43="","",AK43/AJ43)</f>
        <v/>
      </c>
      <c r="AT43" s="1487" t="str">
        <f t="shared" ref="AT43" si="2">IF(AK43=0,"",AL43/AK43)</f>
        <v/>
      </c>
      <c r="AU43" s="1491" t="str">
        <f t="shared" ref="AU43" si="3">IF(AL43=0,"",AM43/AL43)</f>
        <v/>
      </c>
      <c r="AV43" s="824" t="str">
        <f t="shared" ref="AV43" si="4">IF(AJ43="","",AN43/AJ43)</f>
        <v/>
      </c>
      <c r="AW43" s="817" t="s">
        <v>667</v>
      </c>
      <c r="AX43" s="817"/>
      <c r="AY43" s="818"/>
      <c r="AZ43" s="1417">
        <f>SUM(AZ26:AZ41)</f>
        <v>0</v>
      </c>
      <c r="BA43" s="822" t="e">
        <f>SUM(BA21:BA50)</f>
        <v>#DIV/0!</v>
      </c>
      <c r="BB43" s="1412" t="e">
        <f>(Calcule!I4+Calcule!I7+Calcule!I10+Calcule!I13+Calcule!I16+Calcule!I19+Calcule!I22+Calcule!I25+Calcule!I28+Calcule!I31)/(Calcule!I3+Calcule!I6+Calcule!I9+Calcule!I12+Calcule!I15+Calcule!I18+Calcule!I21+Calcule!I24+Calcule!I27+Calcule!I30)</f>
        <v>#DIV/0!</v>
      </c>
      <c r="BC43" s="1414" t="e">
        <f>(Calcule!I5+Calcule!I8+Calcule!I11+Calcule!I14+Calcule!I17+Calcule!I20+Calcule!I23+Calcule!I26+Calcule!I29+Calcule!I32)/(Calcule!I4+Calcule!I7+Calcule!I10+Calcule!I13+Calcule!I16+Calcule!I19+Calcule!I22+Calcule!I25+Calcule!I28+Calcule!I31)</f>
        <v>#DIV/0!</v>
      </c>
      <c r="BD43" s="815" t="e">
        <f>(Calcule!I5+Calcule!I8+Calcule!I11+Calcule!I14+Calcule!I17+Calcule!I20+Calcule!I23+Calcule!I26+Calcule!I29+Calcule!I32)/(Calcule!I3+Calcule!I6+Calcule!I9+Calcule!I12+Calcule!I15+Calcule!I18+Calcule!I21+Calcule!I24+Calcule!I27+Calcule!I30)</f>
        <v>#DIV/0!</v>
      </c>
      <c r="BP43" s="408"/>
      <c r="BT43" s="389"/>
      <c r="BU43" s="474"/>
      <c r="CF43" s="878"/>
      <c r="CG43" s="879"/>
      <c r="CH43" s="802"/>
      <c r="CI43" s="802"/>
      <c r="CJ43" s="891"/>
      <c r="CK43" s="892"/>
      <c r="CL43" s="932"/>
      <c r="CM43" s="933"/>
      <c r="CN43" s="898"/>
      <c r="CO43" s="899"/>
      <c r="CZ43" s="996"/>
      <c r="DA43" s="996"/>
      <c r="DB43" s="996"/>
      <c r="DC43" s="996"/>
      <c r="DD43" s="882"/>
      <c r="DE43" s="882"/>
      <c r="DF43" s="70"/>
      <c r="DH43" s="996"/>
      <c r="DI43" s="996"/>
      <c r="DJ43" s="996"/>
      <c r="DK43" s="996"/>
      <c r="DL43" s="951"/>
      <c r="DM43" s="951"/>
      <c r="DY43" s="431"/>
      <c r="DZ43" s="993"/>
      <c r="EA43" s="993"/>
      <c r="EB43" s="993"/>
      <c r="EC43" s="972"/>
      <c r="ED43" s="390"/>
      <c r="EE43" s="360"/>
      <c r="EF43" s="991"/>
      <c r="EG43" s="991"/>
      <c r="EH43" s="991"/>
      <c r="EI43" s="991"/>
      <c r="EJ43" s="972"/>
      <c r="EK43" s="972"/>
      <c r="EU43" s="926" t="str">
        <f>IF(EZ43=0,"",'Autres atelier'!AI$2)</f>
        <v/>
      </c>
      <c r="EV43" s="926"/>
      <c r="EW43" s="926"/>
      <c r="EX43" s="952">
        <f>'Autres atelier'!AI14</f>
        <v>0</v>
      </c>
      <c r="EY43" s="952">
        <f>'Autres atelier'!AI26</f>
        <v>0</v>
      </c>
      <c r="EZ43" s="924">
        <f>'Autres atelier'!AI28</f>
        <v>0</v>
      </c>
      <c r="FA43" s="924"/>
      <c r="FB43" s="141"/>
      <c r="FD43" s="1002"/>
      <c r="FE43" s="1002"/>
      <c r="FF43" s="1002"/>
      <c r="FG43" s="1002"/>
      <c r="FH43" s="1002"/>
      <c r="FI43" s="967"/>
      <c r="FJ43" s="967"/>
      <c r="FK43" s="957"/>
      <c r="FL43" s="958"/>
      <c r="FM43" s="958"/>
      <c r="FN43" s="920"/>
      <c r="FO43" s="921"/>
      <c r="FR43" s="1381"/>
      <c r="FS43" s="1381"/>
      <c r="FT43" s="1381"/>
      <c r="FU43" s="1216"/>
      <c r="FV43" s="1216"/>
    </row>
    <row r="44" spans="1:213" ht="9.75" customHeight="1" thickBot="1" x14ac:dyDescent="0.55000000000000004">
      <c r="A44" s="845"/>
      <c r="B44" s="845"/>
      <c r="C44" s="845"/>
      <c r="D44" s="845"/>
      <c r="E44" s="845"/>
      <c r="F44" s="845"/>
      <c r="G44" s="845"/>
      <c r="I44" s="855" t="s">
        <v>665</v>
      </c>
      <c r="J44" s="855"/>
      <c r="K44" s="855"/>
      <c r="L44" s="855"/>
      <c r="M44" s="1478" t="e">
        <f>HC26</f>
        <v>#DIV/0!</v>
      </c>
      <c r="N44" s="845"/>
      <c r="O44" s="1480" t="e">
        <f>HD26</f>
        <v>#N/A</v>
      </c>
      <c r="P44" s="802"/>
      <c r="AG44" s="1321"/>
      <c r="AH44" s="808"/>
      <c r="AI44" s="1056"/>
      <c r="AJ44" s="1058"/>
      <c r="AK44" s="810"/>
      <c r="AL44" s="854"/>
      <c r="AM44" s="810"/>
      <c r="AN44" s="854"/>
      <c r="AO44" s="810"/>
      <c r="AP44" s="810"/>
      <c r="AQ44" s="917"/>
      <c r="AR44" s="829"/>
      <c r="AS44" s="1404"/>
      <c r="AT44" s="836"/>
      <c r="AU44" s="806"/>
      <c r="AV44" s="825"/>
      <c r="AW44" s="819"/>
      <c r="AX44" s="820"/>
      <c r="AY44" s="821"/>
      <c r="AZ44" s="1418"/>
      <c r="BA44" s="823"/>
      <c r="BB44" s="1413"/>
      <c r="BC44" s="1415"/>
      <c r="BD44" s="816"/>
      <c r="BM44" s="1085" t="s">
        <v>155</v>
      </c>
      <c r="BN44" s="1086"/>
      <c r="BO44" s="1086"/>
      <c r="BP44" s="465">
        <f>SUM(BP45:BP48)</f>
        <v>0</v>
      </c>
      <c r="BQ44" s="466">
        <f>IF(BP44=0,,(BP45*BQ45+BP46*BQ46+BP47*BQ47+BP48*BQ48)/BP44)</f>
        <v>0</v>
      </c>
      <c r="BR44" s="467">
        <f>IF(BP44=0,,BT44/(BP44*BQ44))</f>
        <v>0</v>
      </c>
      <c r="BS44" s="468">
        <f>IF(BP44=0,,BT44/BP44)</f>
        <v>0</v>
      </c>
      <c r="BT44" s="468">
        <f>SUM(BT45:BT48)</f>
        <v>0</v>
      </c>
      <c r="BU44" s="471" t="str">
        <f>IF(BP44=0,"",(BP45*BU45+BP46*BU46+BP47*BU47+BP48*BU48)/BP44)</f>
        <v/>
      </c>
      <c r="CF44" s="878"/>
      <c r="CG44" s="879"/>
      <c r="CH44" s="802" t="s">
        <v>624</v>
      </c>
      <c r="CI44" s="802"/>
      <c r="CJ44" s="889">
        <f>'Stock et ration '!I6</f>
        <v>0</v>
      </c>
      <c r="CK44" s="890"/>
      <c r="CL44" s="930" t="e">
        <f>('Charges ovin'!C9/('Charges ovin'!C10*1000))*CJ44</f>
        <v>#DIV/0!</v>
      </c>
      <c r="CM44" s="931"/>
      <c r="CN44" s="1379" t="e">
        <f>(CL44*' Elevage'!P3)/Calcule!AU52</f>
        <v>#DIV/0!</v>
      </c>
      <c r="CO44" s="897"/>
      <c r="CY44" s="73"/>
      <c r="CZ44" s="73"/>
      <c r="DA44" s="73"/>
      <c r="DB44" s="73"/>
      <c r="DC44" s="73"/>
      <c r="DD44" s="73"/>
      <c r="DE44" s="73"/>
      <c r="DF44" s="73"/>
      <c r="DG44" s="73"/>
      <c r="DH44" s="73"/>
      <c r="DI44" s="73"/>
      <c r="DJ44" s="73"/>
      <c r="DK44" s="73"/>
      <c r="DL44" s="73"/>
      <c r="DM44" s="73"/>
      <c r="DN44" s="73"/>
      <c r="EC44" s="378"/>
      <c r="EE44" s="886"/>
      <c r="EF44" s="990" t="s">
        <v>666</v>
      </c>
      <c r="EG44" s="990"/>
      <c r="EH44" s="990"/>
      <c r="EI44" s="990"/>
      <c r="EJ44" s="971">
        <f>EJ46+EJ47</f>
        <v>0</v>
      </c>
      <c r="EK44" s="971"/>
      <c r="EU44" s="927"/>
      <c r="EV44" s="927"/>
      <c r="EW44" s="927"/>
      <c r="EX44" s="953"/>
      <c r="EY44" s="953"/>
      <c r="EZ44" s="925"/>
      <c r="FA44" s="925"/>
      <c r="FB44" s="141"/>
      <c r="FD44" s="928" t="s">
        <v>315</v>
      </c>
      <c r="FE44" s="928"/>
      <c r="FF44" s="928"/>
      <c r="FG44" s="928"/>
      <c r="FH44" s="928"/>
      <c r="FI44" s="966">
        <f>Aides!D9</f>
        <v>0</v>
      </c>
      <c r="FJ44" s="966"/>
      <c r="FK44" s="959"/>
      <c r="FL44" s="960"/>
      <c r="FM44" s="960"/>
      <c r="FN44" s="922"/>
      <c r="FO44" s="923"/>
      <c r="FR44" s="1381"/>
      <c r="FS44" s="1381"/>
      <c r="FT44" s="1381"/>
      <c r="FU44" s="1216"/>
      <c r="FV44" s="1216"/>
    </row>
    <row r="45" spans="1:213" ht="9.75" customHeight="1" thickTop="1" thickBot="1" x14ac:dyDescent="0.65">
      <c r="I45" s="855"/>
      <c r="J45" s="855"/>
      <c r="K45" s="855"/>
      <c r="L45" s="855"/>
      <c r="M45" s="1479"/>
      <c r="N45" s="845"/>
      <c r="O45" s="802"/>
      <c r="P45" s="802"/>
      <c r="AG45" s="856" t="s">
        <v>105</v>
      </c>
      <c r="AH45" s="807" t="str">
        <f>IF(' Elevage'!C18=0,"",' Elevage'!C18)</f>
        <v/>
      </c>
      <c r="AI45" s="858" t="str">
        <f>IF(' Elevage'!D18=0,"",' Elevage'!D18)</f>
        <v/>
      </c>
      <c r="AJ45" s="1057" t="str">
        <f>IF(' Elevage'!E18=0,"",' Elevage'!E18)</f>
        <v/>
      </c>
      <c r="AK45" s="851">
        <f>' Elevage'!F18</f>
        <v>0</v>
      </c>
      <c r="AL45" s="853">
        <f>' Elevage'!G18</f>
        <v>0</v>
      </c>
      <c r="AM45" s="851">
        <f>' Elevage'!H18</f>
        <v>0</v>
      </c>
      <c r="AN45" s="853">
        <f>' Elevage'!I18</f>
        <v>0</v>
      </c>
      <c r="AO45" s="851">
        <f>' Elevage'!J18</f>
        <v>0</v>
      </c>
      <c r="AP45" s="851">
        <f>' Elevage'!K18</f>
        <v>0</v>
      </c>
      <c r="AQ45" s="916">
        <f>' Elevage'!L18</f>
        <v>0</v>
      </c>
      <c r="AR45" s="849">
        <f>' Elevage'!M18</f>
        <v>0</v>
      </c>
      <c r="AS45" s="1486" t="str">
        <f t="shared" ref="AS45" si="5">IF(AJ45="","",AK45/AJ45)</f>
        <v/>
      </c>
      <c r="AT45" s="827" t="str">
        <f t="shared" ref="AT45" si="6">IF(AK45=0,"",AL45/AK45)</f>
        <v/>
      </c>
      <c r="AU45" s="805" t="str">
        <f t="shared" ref="AU45" si="7">IF(AL45=0,"",AM45/AL45)</f>
        <v/>
      </c>
      <c r="AV45" s="824" t="str">
        <f t="shared" ref="AV45" si="8">IF(AJ45="","",AN45/AJ45)</f>
        <v/>
      </c>
      <c r="BM45" s="1125" t="s">
        <v>549</v>
      </c>
      <c r="BN45" s="1126"/>
      <c r="BO45" s="1127"/>
      <c r="BP45" s="449">
        <f>Calcule!I3</f>
        <v>0</v>
      </c>
      <c r="BQ45" s="449">
        <f>IF(BP45=0,,Calcule!I4/BP45)</f>
        <v>0</v>
      </c>
      <c r="BR45" s="453">
        <f>IF(BP45=0,,BT45/(BP45*BQ45))</f>
        <v>0</v>
      </c>
      <c r="BS45" s="452">
        <f>IF(BP45=0,,BT45/BP45)</f>
        <v>0</v>
      </c>
      <c r="BT45" s="452">
        <f>Calcule!I$5</f>
        <v>0</v>
      </c>
      <c r="BU45" s="475">
        <f>Calcule!P25</f>
        <v>0</v>
      </c>
      <c r="CF45" s="878"/>
      <c r="CG45" s="879"/>
      <c r="CH45" s="802"/>
      <c r="CI45" s="802"/>
      <c r="CJ45" s="891"/>
      <c r="CK45" s="892"/>
      <c r="CL45" s="932"/>
      <c r="CM45" s="933"/>
      <c r="CN45" s="898"/>
      <c r="CO45" s="899"/>
      <c r="DD45" s="74"/>
      <c r="DE45" s="74"/>
      <c r="DF45" s="74"/>
      <c r="DG45" s="74"/>
      <c r="DH45" s="74"/>
      <c r="DJ45" s="75"/>
      <c r="DK45" s="386"/>
      <c r="DL45" s="387"/>
      <c r="EE45" s="760"/>
      <c r="EF45" s="994"/>
      <c r="EG45" s="994"/>
      <c r="EH45" s="994"/>
      <c r="EI45" s="994"/>
      <c r="EJ45" s="977"/>
      <c r="EK45" s="977"/>
      <c r="EU45" s="973" t="s">
        <v>668</v>
      </c>
      <c r="EV45" s="973"/>
      <c r="EW45" s="973"/>
      <c r="EX45" s="973"/>
      <c r="EY45" s="973"/>
      <c r="EZ45" s="975">
        <f>EZ35+EZ37+EZ39+EZ41+EZ43</f>
        <v>0</v>
      </c>
      <c r="FA45" s="975"/>
      <c r="FB45" s="141"/>
      <c r="FD45" s="929"/>
      <c r="FE45" s="929"/>
      <c r="FF45" s="929"/>
      <c r="FG45" s="929"/>
      <c r="FH45" s="929"/>
      <c r="FI45" s="967"/>
      <c r="FJ45" s="967"/>
    </row>
    <row r="46" spans="1:213" ht="9.75" customHeight="1" thickBot="1" x14ac:dyDescent="0.55000000000000004">
      <c r="A46" s="1496" t="s">
        <v>46</v>
      </c>
      <c r="B46" s="1496"/>
      <c r="C46" s="1496"/>
      <c r="D46" s="846">
        <f>Exploitation!B30</f>
        <v>0</v>
      </c>
      <c r="E46" s="845"/>
      <c r="F46" s="845"/>
      <c r="G46" s="845"/>
      <c r="I46" s="855" t="s">
        <v>669</v>
      </c>
      <c r="J46" s="855"/>
      <c r="K46" s="855"/>
      <c r="L46" s="855"/>
      <c r="M46" s="1478" t="e">
        <f>HC27</f>
        <v>#DIV/0!</v>
      </c>
      <c r="N46" s="845"/>
      <c r="O46" s="1480" t="e">
        <f>HD27</f>
        <v>#N/A</v>
      </c>
      <c r="P46" s="802"/>
      <c r="AG46" s="1321"/>
      <c r="AH46" s="808"/>
      <c r="AI46" s="1056"/>
      <c r="AJ46" s="1058"/>
      <c r="AK46" s="810"/>
      <c r="AL46" s="854"/>
      <c r="AM46" s="810"/>
      <c r="AN46" s="854"/>
      <c r="AO46" s="810"/>
      <c r="AP46" s="810"/>
      <c r="AQ46" s="917"/>
      <c r="AR46" s="829"/>
      <c r="AS46" s="1404"/>
      <c r="AT46" s="836"/>
      <c r="AU46" s="806"/>
      <c r="AV46" s="825"/>
      <c r="AW46" s="1406" t="s">
        <v>674</v>
      </c>
      <c r="AX46" s="1407"/>
      <c r="AY46" s="1408"/>
      <c r="AZ46" s="1363">
        <f>Calcule!I39</f>
        <v>0</v>
      </c>
      <c r="BA46" s="1365"/>
      <c r="BB46" s="1367" t="str">
        <f>IF(AZ46=0,"",Calcule!I40/Calcule!I39)</f>
        <v/>
      </c>
      <c r="BC46" s="1369" t="str">
        <f>IF(Calcule!I40=0,"",Calcule!I41/Calcule!I40)</f>
        <v/>
      </c>
      <c r="BD46" s="1371" t="str">
        <f>IF(AZ46=0,"",Calcule!I41/Calcule!I39)</f>
        <v/>
      </c>
      <c r="BM46" s="1094" t="s">
        <v>551</v>
      </c>
      <c r="BN46" s="1095"/>
      <c r="BO46" s="1096"/>
      <c r="BP46" s="449">
        <f>Calcule!I6</f>
        <v>0</v>
      </c>
      <c r="BQ46" s="449">
        <f>IF(BP46=0,,Calcule!I7/BP46)</f>
        <v>0</v>
      </c>
      <c r="BR46" s="453">
        <f>IF(BP46=0,,BT46/(BP46*BQ46))</f>
        <v>0</v>
      </c>
      <c r="BS46" s="452">
        <f>IF(BP46=0,,BT46/BP46)</f>
        <v>0</v>
      </c>
      <c r="BT46" s="452">
        <f>Calcule!I$8</f>
        <v>0</v>
      </c>
      <c r="BU46" s="475">
        <f>Calcule!Q25</f>
        <v>0</v>
      </c>
      <c r="CF46" s="878"/>
      <c r="CG46" s="879"/>
      <c r="CH46" s="885" t="s">
        <v>204</v>
      </c>
      <c r="CI46" s="886"/>
      <c r="CJ46" s="889">
        <f>'Stock et ration '!I3</f>
        <v>0</v>
      </c>
      <c r="CK46" s="890"/>
      <c r="CL46" s="893" t="e">
        <f>(('Charges ovin'!D15+'Charges ovin'!C43)/(CM11*1000))*CJ46</f>
        <v>#DIV/0!</v>
      </c>
      <c r="CM46" s="894"/>
      <c r="CN46" s="893" t="e">
        <f>(CL46*' Elevage'!P3)/Calcule!AU52</f>
        <v>#DIV/0!</v>
      </c>
      <c r="CO46" s="897"/>
      <c r="CZ46" s="974" t="s">
        <v>670</v>
      </c>
      <c r="DA46" s="974"/>
      <c r="DB46" s="974"/>
      <c r="DC46" s="974"/>
      <c r="DD46" s="974"/>
      <c r="DE46" s="974"/>
      <c r="DF46" s="227"/>
      <c r="DG46" s="875">
        <f>DD25-DL40</f>
        <v>0</v>
      </c>
      <c r="DH46" s="875"/>
      <c r="DI46" s="875"/>
      <c r="DJ46" s="984" t="s">
        <v>671</v>
      </c>
      <c r="DK46" s="871" t="e">
        <f>DG46/AU7</f>
        <v>#DIV/0!</v>
      </c>
      <c r="DL46" s="871"/>
      <c r="DM46" s="873" t="s">
        <v>672</v>
      </c>
      <c r="EF46" s="949" t="s">
        <v>292</v>
      </c>
      <c r="EG46" s="949"/>
      <c r="EH46" s="949"/>
      <c r="EI46" s="949"/>
      <c r="EJ46" s="978">
        <f>'Charges de structure'!C40</f>
        <v>0</v>
      </c>
      <c r="EK46" s="978"/>
      <c r="EU46" s="974"/>
      <c r="EV46" s="974"/>
      <c r="EW46" s="974"/>
      <c r="EX46" s="974"/>
      <c r="EY46" s="974"/>
      <c r="EZ46" s="976"/>
      <c r="FA46" s="976"/>
      <c r="FB46" s="141"/>
      <c r="FD46" s="928" t="s">
        <v>402</v>
      </c>
      <c r="FE46" s="928"/>
      <c r="FF46" s="928"/>
      <c r="FG46" s="928"/>
      <c r="FH46" s="928"/>
      <c r="FI46" s="966">
        <f>Aides!D13</f>
        <v>0</v>
      </c>
      <c r="FJ46" s="966"/>
    </row>
    <row r="47" spans="1:213" ht="9.75" customHeight="1" thickBot="1" x14ac:dyDescent="0.55000000000000004">
      <c r="A47" s="1496"/>
      <c r="B47" s="1496"/>
      <c r="C47" s="1496"/>
      <c r="D47" s="845"/>
      <c r="E47" s="845"/>
      <c r="F47" s="845"/>
      <c r="G47" s="845"/>
      <c r="I47" s="855"/>
      <c r="J47" s="855"/>
      <c r="K47" s="855"/>
      <c r="L47" s="855"/>
      <c r="M47" s="1479"/>
      <c r="N47" s="845"/>
      <c r="O47" s="802"/>
      <c r="P47" s="802"/>
      <c r="AG47" s="856" t="s">
        <v>106</v>
      </c>
      <c r="AH47" s="807" t="str">
        <f>IF(' Elevage'!C19=0,"",' Elevage'!C19)</f>
        <v/>
      </c>
      <c r="AI47" s="858" t="str">
        <f>IF(' Elevage'!D19=0,"",' Elevage'!D19)</f>
        <v/>
      </c>
      <c r="AJ47" s="1057" t="str">
        <f>IF(' Elevage'!E19=0,"",' Elevage'!E19)</f>
        <v/>
      </c>
      <c r="AK47" s="851">
        <f>' Elevage'!F19</f>
        <v>0</v>
      </c>
      <c r="AL47" s="853">
        <f>' Elevage'!G19</f>
        <v>0</v>
      </c>
      <c r="AM47" s="851">
        <f>' Elevage'!H19</f>
        <v>0</v>
      </c>
      <c r="AN47" s="853">
        <f>' Elevage'!I19</f>
        <v>0</v>
      </c>
      <c r="AO47" s="851">
        <f>' Elevage'!J19</f>
        <v>0</v>
      </c>
      <c r="AP47" s="851">
        <f>' Elevage'!K19</f>
        <v>0</v>
      </c>
      <c r="AQ47" s="916">
        <f>' Elevage'!L19</f>
        <v>0</v>
      </c>
      <c r="AR47" s="849">
        <f>' Elevage'!M19</f>
        <v>0</v>
      </c>
      <c r="AS47" s="1486" t="str">
        <f t="shared" ref="AS47" si="9">IF(AJ47="","",AK47/AJ47)</f>
        <v/>
      </c>
      <c r="AT47" s="827" t="str">
        <f t="shared" ref="AT47" si="10">IF(AK47=0,"",AL47/AK47)</f>
        <v/>
      </c>
      <c r="AU47" s="805" t="str">
        <f>IF(AL47=0,"",AM47/AL47)</f>
        <v/>
      </c>
      <c r="AV47" s="811" t="str">
        <f>IF(AJ47="","",AN47/AJ47)</f>
        <v/>
      </c>
      <c r="AW47" s="1409"/>
      <c r="AX47" s="1410"/>
      <c r="AY47" s="1411"/>
      <c r="AZ47" s="1364"/>
      <c r="BA47" s="1366"/>
      <c r="BB47" s="1368"/>
      <c r="BC47" s="1370"/>
      <c r="BD47" s="1372"/>
      <c r="BM47" s="1172" t="s">
        <v>556</v>
      </c>
      <c r="BN47" s="1173"/>
      <c r="BO47" s="1174"/>
      <c r="BP47" s="449">
        <f>Calcule!I9</f>
        <v>0</v>
      </c>
      <c r="BQ47" s="449">
        <f>IF(BP47=0,,Calcule!I10/BP47)</f>
        <v>0</v>
      </c>
      <c r="BR47" s="453">
        <f>IF(BP47=0,,BT47/(BP47*BQ47))</f>
        <v>0</v>
      </c>
      <c r="BS47" s="452">
        <f>IF(BP47=0,,BT47/BP47)</f>
        <v>0</v>
      </c>
      <c r="BT47" s="452">
        <f>Calcule!I$11</f>
        <v>0</v>
      </c>
      <c r="BU47" s="475">
        <f>Calcule!R25</f>
        <v>0</v>
      </c>
      <c r="CF47" s="878"/>
      <c r="CG47" s="879"/>
      <c r="CH47" s="887"/>
      <c r="CI47" s="888"/>
      <c r="CJ47" s="891"/>
      <c r="CK47" s="892"/>
      <c r="CL47" s="895"/>
      <c r="CM47" s="896"/>
      <c r="CN47" s="898"/>
      <c r="CO47" s="899"/>
      <c r="CZ47" s="1380"/>
      <c r="DA47" s="1380"/>
      <c r="DB47" s="1380"/>
      <c r="DC47" s="1380"/>
      <c r="DD47" s="1380"/>
      <c r="DE47" s="1380"/>
      <c r="DF47" s="228"/>
      <c r="DG47" s="986"/>
      <c r="DH47" s="986"/>
      <c r="DI47" s="986"/>
      <c r="DJ47" s="985"/>
      <c r="DK47" s="982"/>
      <c r="DL47" s="982"/>
      <c r="DM47" s="944"/>
      <c r="ED47" s="760"/>
      <c r="EE47" s="360"/>
      <c r="EF47" s="945" t="s">
        <v>673</v>
      </c>
      <c r="EG47" s="945"/>
      <c r="EH47" s="945"/>
      <c r="EI47" s="945"/>
      <c r="EJ47" s="964">
        <f>'Charges de structure'!C41</f>
        <v>0</v>
      </c>
      <c r="EK47" s="964"/>
      <c r="EU47" s="974"/>
      <c r="EV47" s="974"/>
      <c r="EW47" s="974"/>
      <c r="EX47" s="974"/>
      <c r="EY47" s="974"/>
      <c r="EZ47" s="976"/>
      <c r="FA47" s="976"/>
      <c r="FB47" s="141"/>
      <c r="FD47" s="929"/>
      <c r="FE47" s="929"/>
      <c r="FF47" s="929"/>
      <c r="FG47" s="929"/>
      <c r="FH47" s="929"/>
      <c r="FI47" s="967"/>
      <c r="FJ47" s="967"/>
      <c r="FR47" s="1345" t="s">
        <v>407</v>
      </c>
      <c r="FS47" s="1346"/>
      <c r="FT47" s="1346"/>
      <c r="FU47" s="1351">
        <f>FQ30-FU36-FU42</f>
        <v>0</v>
      </c>
      <c r="FV47" s="1352"/>
    </row>
    <row r="48" spans="1:213" ht="9.75" customHeight="1" thickBot="1" x14ac:dyDescent="0.6">
      <c r="I48" s="855" t="s">
        <v>399</v>
      </c>
      <c r="J48" s="855"/>
      <c r="K48" s="855"/>
      <c r="L48" s="855"/>
      <c r="M48" s="1478">
        <f>HC32</f>
        <v>0</v>
      </c>
      <c r="N48" s="845"/>
      <c r="O48" s="1481" t="e">
        <f>HD32</f>
        <v>#N/A</v>
      </c>
      <c r="P48" s="802"/>
      <c r="AG48" s="857"/>
      <c r="AH48" s="864"/>
      <c r="AI48" s="859"/>
      <c r="AJ48" s="1383"/>
      <c r="AK48" s="852"/>
      <c r="AL48" s="869"/>
      <c r="AM48" s="852"/>
      <c r="AN48" s="869"/>
      <c r="AO48" s="852"/>
      <c r="AP48" s="852"/>
      <c r="AQ48" s="1405"/>
      <c r="AR48" s="850"/>
      <c r="AS48" s="1486"/>
      <c r="AT48" s="827"/>
      <c r="AU48" s="805"/>
      <c r="AV48" s="812"/>
      <c r="BM48" s="1143" t="s">
        <v>559</v>
      </c>
      <c r="BN48" s="1144"/>
      <c r="BO48" s="1145"/>
      <c r="BP48" s="456">
        <f>Calcule!I12</f>
        <v>0</v>
      </c>
      <c r="BQ48" s="456">
        <f>IF(BP48=0,,Calcule!I13/BP48)</f>
        <v>0</v>
      </c>
      <c r="BR48" s="463">
        <f>IF(BP48=0,,BT48/(BP48*BQ48))</f>
        <v>0</v>
      </c>
      <c r="BS48" s="464">
        <f>IF(BP48=0,,BT48/BP48)</f>
        <v>0</v>
      </c>
      <c r="BT48" s="464">
        <f>Calcule!I$14</f>
        <v>0</v>
      </c>
      <c r="BU48" s="476">
        <f>Calcule!S25</f>
        <v>0</v>
      </c>
      <c r="CF48" s="878"/>
      <c r="CG48" s="879"/>
      <c r="CH48" s="879" t="s">
        <v>155</v>
      </c>
      <c r="CI48" s="879"/>
      <c r="CJ48" s="1373"/>
      <c r="CK48" s="1374"/>
      <c r="CL48" s="906" t="e">
        <f>SUM(CL42:CM47)</f>
        <v>#DIV/0!</v>
      </c>
      <c r="CM48" s="907"/>
      <c r="CN48" s="910" t="e">
        <f>SUM(CN42:CO47)</f>
        <v>#DIV/0!</v>
      </c>
      <c r="CO48" s="911"/>
      <c r="CZ48" s="1361" t="s">
        <v>675</v>
      </c>
      <c r="DA48" s="1361"/>
      <c r="DB48" s="1361"/>
      <c r="DC48" s="1361"/>
      <c r="DD48" s="1361"/>
      <c r="DE48" s="1361"/>
      <c r="DF48" s="229"/>
      <c r="DG48" s="874">
        <f>DD40-DL40</f>
        <v>0</v>
      </c>
      <c r="DH48" s="874"/>
      <c r="DI48" s="874"/>
      <c r="DJ48" s="987" t="s">
        <v>671</v>
      </c>
      <c r="DK48" s="870" t="e">
        <f>DG48/AU7</f>
        <v>#DIV/0!</v>
      </c>
      <c r="DL48" s="870"/>
      <c r="DM48" s="872" t="s">
        <v>672</v>
      </c>
      <c r="ED48" s="760"/>
      <c r="EE48" s="378"/>
      <c r="EF48" s="979" t="s">
        <v>399</v>
      </c>
      <c r="EG48" s="979"/>
      <c r="EH48" s="979"/>
      <c r="EI48" s="979"/>
      <c r="EJ48" s="968">
        <f>EJ44+EJ39+EJ42</f>
        <v>0</v>
      </c>
      <c r="EK48" s="968"/>
      <c r="EU48" s="974"/>
      <c r="EV48" s="974"/>
      <c r="EW48" s="974"/>
      <c r="EX48" s="974"/>
      <c r="EY48" s="974"/>
      <c r="EZ48" s="406"/>
      <c r="FA48" s="406"/>
      <c r="FB48" s="141"/>
      <c r="FD48" s="928" t="s">
        <v>316</v>
      </c>
      <c r="FE48" s="928"/>
      <c r="FF48" s="928"/>
      <c r="FG48" s="928"/>
      <c r="FH48" s="928"/>
      <c r="FI48" s="966">
        <f>Aides!D11</f>
        <v>0</v>
      </c>
      <c r="FJ48" s="966"/>
      <c r="FR48" s="1347"/>
      <c r="FS48" s="1348"/>
      <c r="FT48" s="1348"/>
      <c r="FU48" s="1353"/>
      <c r="FV48" s="1354"/>
    </row>
    <row r="49" spans="1:178" ht="8.25" customHeight="1" thickBot="1" x14ac:dyDescent="0.6">
      <c r="A49" s="845" t="s">
        <v>47</v>
      </c>
      <c r="B49" s="845"/>
      <c r="C49" s="845"/>
      <c r="D49" s="846">
        <f>Exploitation!B31</f>
        <v>0</v>
      </c>
      <c r="E49" s="845"/>
      <c r="F49" s="845"/>
      <c r="G49" s="845"/>
      <c r="I49" s="855"/>
      <c r="J49" s="855"/>
      <c r="K49" s="855"/>
      <c r="L49" s="855"/>
      <c r="M49" s="1479"/>
      <c r="N49" s="845"/>
      <c r="O49" s="802"/>
      <c r="P49" s="802"/>
      <c r="T49" s="68"/>
      <c r="U49" s="68"/>
      <c r="X49" s="68"/>
      <c r="Y49" s="68"/>
      <c r="Z49" s="68"/>
      <c r="AA49" s="68"/>
      <c r="AB49" s="68"/>
      <c r="AC49" s="68"/>
      <c r="AD49" s="68"/>
      <c r="AE49" s="68"/>
      <c r="AF49" s="68"/>
      <c r="AH49" s="860" t="s">
        <v>66</v>
      </c>
      <c r="AI49" s="861"/>
      <c r="AJ49" s="867" t="str">
        <f>IF(' Elevage'!E20=0,"",' Elevage'!E20)</f>
        <v/>
      </c>
      <c r="AK49" s="1038">
        <f>' Elevage'!F20</f>
        <v>0</v>
      </c>
      <c r="AL49" s="865">
        <f>' Elevage'!G20</f>
        <v>0</v>
      </c>
      <c r="AM49" s="1038">
        <f>' Elevage'!H20</f>
        <v>0</v>
      </c>
      <c r="AN49" s="865">
        <f>' Elevage'!I20</f>
        <v>0</v>
      </c>
      <c r="AO49" s="1038">
        <f>' Elevage'!J20</f>
        <v>0</v>
      </c>
      <c r="AP49" s="1038">
        <f>' Elevage'!K20</f>
        <v>0</v>
      </c>
      <c r="AQ49" s="1038">
        <f>' Elevage'!L20</f>
        <v>0</v>
      </c>
      <c r="AR49" s="847">
        <f>' Elevage'!M20</f>
        <v>0</v>
      </c>
      <c r="AS49" s="1484" t="str">
        <f>IF(AU7=0,"",AK49/AU7)</f>
        <v/>
      </c>
      <c r="AT49" s="1482" t="str">
        <f>IF(AK49=0,"",AL49/AK49)</f>
        <v/>
      </c>
      <c r="AU49" s="803" t="str">
        <f>IF(AL49=0,"",AM49/AL49)</f>
        <v/>
      </c>
      <c r="AV49" s="813" t="str">
        <f>IF(AU7=0,"",AN49/AU7)</f>
        <v/>
      </c>
      <c r="CF49" s="1326"/>
      <c r="CG49" s="883"/>
      <c r="CH49" s="883"/>
      <c r="CI49" s="883"/>
      <c r="CJ49" s="1375"/>
      <c r="CK49" s="1376"/>
      <c r="CL49" s="908"/>
      <c r="CM49" s="909"/>
      <c r="CN49" s="912"/>
      <c r="CO49" s="913"/>
      <c r="CZ49" s="1362"/>
      <c r="DA49" s="1362"/>
      <c r="DB49" s="1362"/>
      <c r="DC49" s="1362"/>
      <c r="DD49" s="1362"/>
      <c r="DE49" s="1362"/>
      <c r="DF49" s="229"/>
      <c r="DG49" s="875"/>
      <c r="DH49" s="875"/>
      <c r="DI49" s="875"/>
      <c r="DJ49" s="984"/>
      <c r="DK49" s="871"/>
      <c r="DL49" s="871"/>
      <c r="DM49" s="873"/>
      <c r="EF49" s="980"/>
      <c r="EG49" s="980"/>
      <c r="EH49" s="980"/>
      <c r="EI49" s="980"/>
      <c r="EJ49" s="969"/>
      <c r="EK49" s="969"/>
      <c r="FB49" s="141"/>
      <c r="FD49" s="929"/>
      <c r="FE49" s="929"/>
      <c r="FF49" s="929"/>
      <c r="FG49" s="929"/>
      <c r="FH49" s="929"/>
      <c r="FI49" s="967"/>
      <c r="FJ49" s="967"/>
      <c r="FR49" s="1347"/>
      <c r="FS49" s="1348"/>
      <c r="FT49" s="1348"/>
      <c r="FU49" s="1353"/>
      <c r="FV49" s="1354"/>
    </row>
    <row r="50" spans="1:178" ht="9.75" customHeight="1" thickBot="1" x14ac:dyDescent="0.6">
      <c r="A50" s="845"/>
      <c r="B50" s="845"/>
      <c r="C50" s="845"/>
      <c r="D50" s="845"/>
      <c r="E50" s="845"/>
      <c r="F50" s="845"/>
      <c r="G50" s="845"/>
      <c r="I50" s="855" t="s">
        <v>404</v>
      </c>
      <c r="J50" s="855"/>
      <c r="K50" s="855"/>
      <c r="L50" s="855"/>
      <c r="M50" s="1478">
        <f>HC36</f>
        <v>0</v>
      </c>
      <c r="N50" s="845"/>
      <c r="O50" s="1481" t="e">
        <f>HD36</f>
        <v>#N/A</v>
      </c>
      <c r="P50" s="802"/>
      <c r="AH50" s="862"/>
      <c r="AI50" s="863"/>
      <c r="AJ50" s="868"/>
      <c r="AK50" s="1405"/>
      <c r="AL50" s="866"/>
      <c r="AM50" s="1405"/>
      <c r="AN50" s="866"/>
      <c r="AO50" s="1405"/>
      <c r="AP50" s="1405"/>
      <c r="AQ50" s="1405"/>
      <c r="AR50" s="848"/>
      <c r="AS50" s="1485"/>
      <c r="AT50" s="1483"/>
      <c r="AU50" s="804"/>
      <c r="AV50" s="814"/>
      <c r="CZ50" s="1362"/>
      <c r="DA50" s="1362"/>
      <c r="DB50" s="1362"/>
      <c r="DC50" s="1362"/>
      <c r="DD50" s="1362"/>
      <c r="DE50" s="1362"/>
      <c r="DF50" s="229"/>
      <c r="DG50" s="875"/>
      <c r="DH50" s="875"/>
      <c r="DI50" s="875"/>
      <c r="DJ50" s="984"/>
      <c r="DK50" s="871"/>
      <c r="DL50" s="871"/>
      <c r="DM50" s="873"/>
      <c r="EF50" s="980"/>
      <c r="EG50" s="980"/>
      <c r="EH50" s="980"/>
      <c r="EI50" s="980"/>
      <c r="EJ50" s="969"/>
      <c r="EK50" s="969"/>
      <c r="FB50" s="141"/>
      <c r="FD50" s="983" t="s">
        <v>66</v>
      </c>
      <c r="FE50" s="983"/>
      <c r="FF50" s="983"/>
      <c r="FG50" s="983"/>
      <c r="FH50" s="983"/>
      <c r="FI50" s="963">
        <f>FI34+FI38+FI40+FI42+FI44+FI46+FI48+Aides!D15</f>
        <v>0</v>
      </c>
      <c r="FJ50" s="963"/>
      <c r="FR50" s="1349"/>
      <c r="FS50" s="1350"/>
      <c r="FT50" s="1350"/>
      <c r="FU50" s="1355"/>
      <c r="FV50" s="1356"/>
    </row>
    <row r="51" spans="1:178" ht="9.75" customHeight="1" x14ac:dyDescent="0.5">
      <c r="I51" s="855"/>
      <c r="J51" s="855"/>
      <c r="K51" s="855"/>
      <c r="L51" s="855"/>
      <c r="M51" s="1479"/>
      <c r="N51" s="845"/>
      <c r="O51" s="802"/>
      <c r="P51" s="802"/>
      <c r="EE51" s="360"/>
      <c r="EF51" s="981"/>
      <c r="EG51" s="981"/>
      <c r="EH51" s="981"/>
      <c r="EI51" s="981"/>
      <c r="EJ51" s="970"/>
      <c r="EK51" s="970"/>
      <c r="EU51" s="324"/>
      <c r="EV51" s="324"/>
      <c r="EW51" s="324"/>
      <c r="EX51" s="324"/>
      <c r="EY51" s="324"/>
      <c r="EZ51" s="324"/>
      <c r="FA51" s="324"/>
      <c r="FB51" s="141"/>
      <c r="FD51" s="974"/>
      <c r="FE51" s="974"/>
      <c r="FF51" s="974"/>
      <c r="FG51" s="974"/>
      <c r="FH51" s="974"/>
      <c r="FI51" s="963"/>
      <c r="FJ51" s="963"/>
    </row>
    <row r="52" spans="1:178" ht="9.75" customHeight="1" x14ac:dyDescent="0.5">
      <c r="I52" s="855" t="s">
        <v>676</v>
      </c>
      <c r="J52" s="855"/>
      <c r="K52" s="855"/>
      <c r="L52" s="855"/>
      <c r="M52" s="1478" t="e">
        <f>HC38</f>
        <v>#DIV/0!</v>
      </c>
      <c r="N52" s="845"/>
      <c r="O52" s="1481" t="e">
        <f>HD38</f>
        <v>#N/A</v>
      </c>
      <c r="P52" s="802"/>
    </row>
    <row r="53" spans="1:178" ht="9.75" customHeight="1" x14ac:dyDescent="0.5">
      <c r="I53" s="855"/>
      <c r="J53" s="855"/>
      <c r="K53" s="855"/>
      <c r="L53" s="855"/>
      <c r="M53" s="1479"/>
      <c r="N53" s="845"/>
      <c r="O53" s="802"/>
      <c r="P53" s="802"/>
    </row>
    <row r="54" spans="1:178" ht="9.75" customHeight="1" x14ac:dyDescent="0.5"/>
    <row r="60" spans="1:178" ht="23.4" customHeight="1" x14ac:dyDescent="0.5"/>
    <row r="61" spans="1:178" ht="20.399999999999999" customHeight="1" x14ac:dyDescent="0.5"/>
  </sheetData>
  <mergeCells count="950">
    <mergeCell ref="A25:B26"/>
    <mergeCell ref="AM41:AM42"/>
    <mergeCell ref="AL41:AL42"/>
    <mergeCell ref="AK22:AK24"/>
    <mergeCell ref="AG29:AI30"/>
    <mergeCell ref="A18:G19"/>
    <mergeCell ref="C25:C26"/>
    <mergeCell ref="C28:C29"/>
    <mergeCell ref="A31:C32"/>
    <mergeCell ref="A28:B29"/>
    <mergeCell ref="D31:G32"/>
    <mergeCell ref="A34:C35"/>
    <mergeCell ref="A37:C38"/>
    <mergeCell ref="D34:G35"/>
    <mergeCell ref="D37:G38"/>
    <mergeCell ref="A22:B23"/>
    <mergeCell ref="C22:C23"/>
    <mergeCell ref="E22:F23"/>
    <mergeCell ref="G22:G23"/>
    <mergeCell ref="E25:F26"/>
    <mergeCell ref="G25:G26"/>
    <mergeCell ref="M26:N27"/>
    <mergeCell ref="M28:N29"/>
    <mergeCell ref="I18:P19"/>
    <mergeCell ref="O42:P43"/>
    <mergeCell ref="AT45:AT46"/>
    <mergeCell ref="AO49:AO50"/>
    <mergeCell ref="AP49:AP50"/>
    <mergeCell ref="A46:C47"/>
    <mergeCell ref="M30:N31"/>
    <mergeCell ref="M32:N33"/>
    <mergeCell ref="M34:N35"/>
    <mergeCell ref="M36:N37"/>
    <mergeCell ref="M38:N39"/>
    <mergeCell ref="A43:C44"/>
    <mergeCell ref="D43:G44"/>
    <mergeCell ref="D40:G41"/>
    <mergeCell ref="A40:C41"/>
    <mergeCell ref="M44:N45"/>
    <mergeCell ref="D46:G47"/>
    <mergeCell ref="M52:N53"/>
    <mergeCell ref="O44:P45"/>
    <mergeCell ref="O46:P47"/>
    <mergeCell ref="O48:P49"/>
    <mergeCell ref="O50:P51"/>
    <mergeCell ref="O52:P53"/>
    <mergeCell ref="AK49:AK50"/>
    <mergeCell ref="AL49:AL50"/>
    <mergeCell ref="AM49:AM50"/>
    <mergeCell ref="M48:N49"/>
    <mergeCell ref="M46:N47"/>
    <mergeCell ref="AG10:AG11"/>
    <mergeCell ref="AZ28:AZ29"/>
    <mergeCell ref="AZ30:AZ31"/>
    <mergeCell ref="BA28:BA29"/>
    <mergeCell ref="BA34:BA35"/>
    <mergeCell ref="BM38:BO38"/>
    <mergeCell ref="BD28:BD29"/>
    <mergeCell ref="BM33:BO33"/>
    <mergeCell ref="M50:N51"/>
    <mergeCell ref="AT49:AT50"/>
    <mergeCell ref="AS49:AS50"/>
    <mergeCell ref="AS47:AS48"/>
    <mergeCell ref="AT43:AT44"/>
    <mergeCell ref="AS45:AS46"/>
    <mergeCell ref="AR43:AR44"/>
    <mergeCell ref="AS41:AS42"/>
    <mergeCell ref="M40:N41"/>
    <mergeCell ref="M42:N43"/>
    <mergeCell ref="O24:P25"/>
    <mergeCell ref="AU25:AU26"/>
    <mergeCell ref="AP43:AP44"/>
    <mergeCell ref="AQ43:AQ44"/>
    <mergeCell ref="AO43:AO44"/>
    <mergeCell ref="AU43:AU44"/>
    <mergeCell ref="CJ36:CK37"/>
    <mergeCell ref="AO38:AO40"/>
    <mergeCell ref="AG34:AG35"/>
    <mergeCell ref="AN17:AN18"/>
    <mergeCell ref="AG17:AG18"/>
    <mergeCell ref="S1:AF2"/>
    <mergeCell ref="BM40:BO40"/>
    <mergeCell ref="BM24:BO24"/>
    <mergeCell ref="BM25:BO25"/>
    <mergeCell ref="BM26:BO26"/>
    <mergeCell ref="BD23:BD24"/>
    <mergeCell ref="BC23:BC24"/>
    <mergeCell ref="AW26:AY27"/>
    <mergeCell ref="AZ23:AZ24"/>
    <mergeCell ref="BA23:BA24"/>
    <mergeCell ref="BA26:BA27"/>
    <mergeCell ref="AV22:AV24"/>
    <mergeCell ref="AV25:AV26"/>
    <mergeCell ref="BM23:BO23"/>
    <mergeCell ref="AJ38:AJ40"/>
    <mergeCell ref="AN10:AN11"/>
    <mergeCell ref="AL10:AL11"/>
    <mergeCell ref="AH12:AH13"/>
    <mergeCell ref="AJ12:AJ13"/>
    <mergeCell ref="CF20:CG22"/>
    <mergeCell ref="CH20:CH22"/>
    <mergeCell ref="M22:N23"/>
    <mergeCell ref="AL22:AL24"/>
    <mergeCell ref="AM22:AM24"/>
    <mergeCell ref="AK38:AK40"/>
    <mergeCell ref="AL38:AL40"/>
    <mergeCell ref="AJ29:AJ30"/>
    <mergeCell ref="AW28:AY29"/>
    <mergeCell ref="BM27:BO27"/>
    <mergeCell ref="BM31:BO31"/>
    <mergeCell ref="BM32:BO32"/>
    <mergeCell ref="O22:P23"/>
    <mergeCell ref="M24:N25"/>
    <mergeCell ref="O26:P27"/>
    <mergeCell ref="O28:P29"/>
    <mergeCell ref="O30:P31"/>
    <mergeCell ref="O32:P33"/>
    <mergeCell ref="O34:P35"/>
    <mergeCell ref="O36:P37"/>
    <mergeCell ref="O38:P39"/>
    <mergeCell ref="O40:P41"/>
    <mergeCell ref="HX1:IJ2"/>
    <mergeCell ref="DY23:DY24"/>
    <mergeCell ref="DZ27:EB28"/>
    <mergeCell ref="DZ29:EB30"/>
    <mergeCell ref="DZ31:EB32"/>
    <mergeCell ref="GR21:GV21"/>
    <mergeCell ref="FE21:FF22"/>
    <mergeCell ref="EY19:EZ20"/>
    <mergeCell ref="HF1:HG2"/>
    <mergeCell ref="HH1:HT2"/>
    <mergeCell ref="HV1:HW2"/>
    <mergeCell ref="FQ14:FS16"/>
    <mergeCell ref="FE19:FF20"/>
    <mergeCell ref="FG17:FH18"/>
    <mergeCell ref="EU17:EX18"/>
    <mergeCell ref="EU19:EX20"/>
    <mergeCell ref="EU21:EX22"/>
    <mergeCell ref="FA17:FB18"/>
    <mergeCell ref="FA19:FB20"/>
    <mergeCell ref="EY21:EZ22"/>
    <mergeCell ref="FI17:FJ18"/>
    <mergeCell ref="FG21:FH22"/>
    <mergeCell ref="GR26:GV26"/>
    <mergeCell ref="DZ13:EB14"/>
    <mergeCell ref="FG19:FH20"/>
    <mergeCell ref="FA21:FB22"/>
    <mergeCell ref="FI19:FJ20"/>
    <mergeCell ref="FC21:FD22"/>
    <mergeCell ref="DD24:DE24"/>
    <mergeCell ref="DL25:DM26"/>
    <mergeCell ref="CZ23:DC23"/>
    <mergeCell ref="DD23:DE23"/>
    <mergeCell ref="DD25:DE28"/>
    <mergeCell ref="CZ25:DC28"/>
    <mergeCell ref="DZ20:EB22"/>
    <mergeCell ref="DH21:DK22"/>
    <mergeCell ref="DH20:DK20"/>
    <mergeCell ref="CZ19:DC20"/>
    <mergeCell ref="DL20:DM20"/>
    <mergeCell ref="DL21:DM22"/>
    <mergeCell ref="CZ24:DC24"/>
    <mergeCell ref="CZ21:DC21"/>
    <mergeCell ref="EF20:EI21"/>
    <mergeCell ref="EF22:EI23"/>
    <mergeCell ref="EV28:FA29"/>
    <mergeCell ref="DH25:DK26"/>
    <mergeCell ref="FF28:FJ29"/>
    <mergeCell ref="DZ23:EB24"/>
    <mergeCell ref="AQ49:AQ50"/>
    <mergeCell ref="AW46:AY47"/>
    <mergeCell ref="BM48:BO48"/>
    <mergeCell ref="BB43:BB44"/>
    <mergeCell ref="BC43:BC44"/>
    <mergeCell ref="AZ40:AZ41"/>
    <mergeCell ref="AZ43:AZ44"/>
    <mergeCell ref="BM41:BO41"/>
    <mergeCell ref="BM45:BO45"/>
    <mergeCell ref="AJ47:AJ48"/>
    <mergeCell ref="CL34:CM35"/>
    <mergeCell ref="CN34:CO35"/>
    <mergeCell ref="CL36:CM37"/>
    <mergeCell ref="CN36:CO37"/>
    <mergeCell ref="CF30:CG35"/>
    <mergeCell ref="CJ34:CK35"/>
    <mergeCell ref="CJ38:CK39"/>
    <mergeCell ref="BD30:BD31"/>
    <mergeCell ref="BA30:BA31"/>
    <mergeCell ref="BM46:BO46"/>
    <mergeCell ref="BM39:BO39"/>
    <mergeCell ref="BM37:BO37"/>
    <mergeCell ref="AW32:AY33"/>
    <mergeCell ref="AW30:AY31"/>
    <mergeCell ref="AW36:AY37"/>
    <mergeCell ref="AW34:AY35"/>
    <mergeCell ref="AV43:AV44"/>
    <mergeCell ref="AS43:AS44"/>
    <mergeCell ref="AH34:AV35"/>
    <mergeCell ref="AQ38:AQ40"/>
    <mergeCell ref="AN47:AN48"/>
    <mergeCell ref="AQ47:AQ48"/>
    <mergeCell ref="CH32:CI33"/>
    <mergeCell ref="AJ45:AJ46"/>
    <mergeCell ref="FR42:FT44"/>
    <mergeCell ref="FQ30:FS32"/>
    <mergeCell ref="EJ26:EK27"/>
    <mergeCell ref="EJ28:EK28"/>
    <mergeCell ref="FN24:FP26"/>
    <mergeCell ref="DH31:DK32"/>
    <mergeCell ref="DH27:DK28"/>
    <mergeCell ref="DL23:DM24"/>
    <mergeCell ref="DH23:DK24"/>
    <mergeCell ref="EC23:EC24"/>
    <mergeCell ref="EF28:EI28"/>
    <mergeCell ref="DL27:DM28"/>
    <mergeCell ref="BM34:BO34"/>
    <mergeCell ref="BD38:BD39"/>
    <mergeCell ref="AZ38:AZ39"/>
    <mergeCell ref="BC34:BC35"/>
    <mergeCell ref="BC36:BC37"/>
    <mergeCell ref="BD36:BD37"/>
    <mergeCell ref="AZ34:AZ35"/>
    <mergeCell ref="BM44:BO44"/>
    <mergeCell ref="BD32:BD33"/>
    <mergeCell ref="EU37:EW38"/>
    <mergeCell ref="DH33:DK33"/>
    <mergeCell ref="CZ48:DE50"/>
    <mergeCell ref="BM47:BO47"/>
    <mergeCell ref="AZ46:AZ47"/>
    <mergeCell ref="BA46:BA47"/>
    <mergeCell ref="BB46:BB47"/>
    <mergeCell ref="BC46:BC47"/>
    <mergeCell ref="BD46:BD47"/>
    <mergeCell ref="BC32:BC33"/>
    <mergeCell ref="BC38:BC39"/>
    <mergeCell ref="AZ32:AZ33"/>
    <mergeCell ref="BA32:BA33"/>
    <mergeCell ref="CH48:CI49"/>
    <mergeCell ref="CJ48:CK49"/>
    <mergeCell ref="CL42:CM43"/>
    <mergeCell ref="CH40:CI41"/>
    <mergeCell ref="DD31:DE32"/>
    <mergeCell ref="CH42:CI43"/>
    <mergeCell ref="CL44:CM45"/>
    <mergeCell ref="CN44:CO45"/>
    <mergeCell ref="CZ46:DE47"/>
    <mergeCell ref="CJ44:CK45"/>
    <mergeCell ref="CJ30:CK31"/>
    <mergeCell ref="CL30:CM31"/>
    <mergeCell ref="CN30:CO31"/>
    <mergeCell ref="GR22:GV22"/>
    <mergeCell ref="GR23:GV23"/>
    <mergeCell ref="GR39:GV39"/>
    <mergeCell ref="GR40:GV40"/>
    <mergeCell ref="GR41:GV41"/>
    <mergeCell ref="FQ24:FS26"/>
    <mergeCell ref="FR47:FT50"/>
    <mergeCell ref="FU47:FV50"/>
    <mergeCell ref="FR36:FT38"/>
    <mergeCell ref="GR38:GV38"/>
    <mergeCell ref="FV24:FX26"/>
    <mergeCell ref="FY24:FZ26"/>
    <mergeCell ref="GR27:GV27"/>
    <mergeCell ref="GR28:GV28"/>
    <mergeCell ref="GR33:GV33"/>
    <mergeCell ref="GR35:GV35"/>
    <mergeCell ref="GR34:GV34"/>
    <mergeCell ref="FU36:FV38"/>
    <mergeCell ref="GR29:GV29"/>
    <mergeCell ref="GR24:GV24"/>
    <mergeCell ref="GR25:GV25"/>
    <mergeCell ref="GR30:GV30"/>
    <mergeCell ref="GR31:GV31"/>
    <mergeCell ref="GR32:GV32"/>
    <mergeCell ref="GR36:GV36"/>
    <mergeCell ref="GR37:GV37"/>
    <mergeCell ref="AO12:AO13"/>
    <mergeCell ref="AO17:AO18"/>
    <mergeCell ref="AG22:AG24"/>
    <mergeCell ref="AP14:AP15"/>
    <mergeCell ref="AH22:AH24"/>
    <mergeCell ref="AI22:AI24"/>
    <mergeCell ref="AI25:AI26"/>
    <mergeCell ref="AO25:AP26"/>
    <mergeCell ref="AJ22:AJ24"/>
    <mergeCell ref="AI12:AI13"/>
    <mergeCell ref="AJ17:AJ18"/>
    <mergeCell ref="AG25:AG26"/>
    <mergeCell ref="EJ31:EK32"/>
    <mergeCell ref="EJ33:EK33"/>
    <mergeCell ref="EJ34:EK34"/>
    <mergeCell ref="FI34:FJ37"/>
    <mergeCell ref="FK36:FM38"/>
    <mergeCell ref="EF31:EI32"/>
    <mergeCell ref="EJ37:EK37"/>
    <mergeCell ref="EJ35:EK35"/>
    <mergeCell ref="EJ38:EK38"/>
    <mergeCell ref="EY33:EY34"/>
    <mergeCell ref="H11:H12"/>
    <mergeCell ref="I11:K12"/>
    <mergeCell ref="H14:I15"/>
    <mergeCell ref="J14:J15"/>
    <mergeCell ref="FU42:FV44"/>
    <mergeCell ref="EC33:EC34"/>
    <mergeCell ref="EC31:EC32"/>
    <mergeCell ref="EF26:EI27"/>
    <mergeCell ref="EF30:EI30"/>
    <mergeCell ref="AG41:AG42"/>
    <mergeCell ref="AG43:AG44"/>
    <mergeCell ref="AQ17:AQ18"/>
    <mergeCell ref="AR17:AR18"/>
    <mergeCell ref="AS17:AS18"/>
    <mergeCell ref="AS25:AS26"/>
    <mergeCell ref="AL25:AL26"/>
    <mergeCell ref="AJ25:AJ26"/>
    <mergeCell ref="AK25:AK26"/>
    <mergeCell ref="AM38:AM40"/>
    <mergeCell ref="AK41:AK42"/>
    <mergeCell ref="CZ40:DC43"/>
    <mergeCell ref="CJ40:CK41"/>
    <mergeCell ref="CF42:CG49"/>
    <mergeCell ref="AG45:AG46"/>
    <mergeCell ref="EY35:EY36"/>
    <mergeCell ref="FD32:FH33"/>
    <mergeCell ref="EU35:EW36"/>
    <mergeCell ref="EU33:EW34"/>
    <mergeCell ref="EF37:EI37"/>
    <mergeCell ref="FH36:FH37"/>
    <mergeCell ref="FD34:FH35"/>
    <mergeCell ref="FD38:FH39"/>
    <mergeCell ref="EF33:EI33"/>
    <mergeCell ref="FE36:FE37"/>
    <mergeCell ref="FF36:FF37"/>
    <mergeCell ref="FG36:FG37"/>
    <mergeCell ref="FN30:FP32"/>
    <mergeCell ref="EJ30:EK30"/>
    <mergeCell ref="CL27:CM29"/>
    <mergeCell ref="CN27:CO29"/>
    <mergeCell ref="CH30:CI31"/>
    <mergeCell ref="BC26:BC27"/>
    <mergeCell ref="BD26:BD27"/>
    <mergeCell ref="BB28:BB29"/>
    <mergeCell ref="BB26:BB27"/>
    <mergeCell ref="BM30:BO30"/>
    <mergeCell ref="BB30:BB31"/>
    <mergeCell ref="BC30:BC31"/>
    <mergeCell ref="BC28:BC29"/>
    <mergeCell ref="CZ31:DC32"/>
    <mergeCell ref="DL31:DM32"/>
    <mergeCell ref="DZ25:EB26"/>
    <mergeCell ref="DL29:DM30"/>
    <mergeCell ref="CL32:CM33"/>
    <mergeCell ref="CN32:CO33"/>
    <mergeCell ref="EX33:EX34"/>
    <mergeCell ref="CJ32:CK33"/>
    <mergeCell ref="CF27:CI29"/>
    <mergeCell ref="CJ27:CK29"/>
    <mergeCell ref="DH29:DK30"/>
    <mergeCell ref="DH6:DK7"/>
    <mergeCell ref="DH8:DK8"/>
    <mergeCell ref="DD21:DE21"/>
    <mergeCell ref="CZ17:DC18"/>
    <mergeCell ref="CI7:CI10"/>
    <mergeCell ref="CJ7:CJ10"/>
    <mergeCell ref="CO7:CP10"/>
    <mergeCell ref="CK14:CK16"/>
    <mergeCell ref="CL14:CL16"/>
    <mergeCell ref="CK20:CK22"/>
    <mergeCell ref="CL20:CL22"/>
    <mergeCell ref="CI20:CI22"/>
    <mergeCell ref="CJ20:CJ22"/>
    <mergeCell ref="CM14:CM16"/>
    <mergeCell ref="CN14:CN16"/>
    <mergeCell ref="CL17:CL19"/>
    <mergeCell ref="CM17:CM19"/>
    <mergeCell ref="CN17:CN19"/>
    <mergeCell ref="CI17:CI19"/>
    <mergeCell ref="CJ17:CJ19"/>
    <mergeCell ref="CK17:CK19"/>
    <mergeCell ref="AO22:AP24"/>
    <mergeCell ref="AT22:AT24"/>
    <mergeCell ref="AR22:AR24"/>
    <mergeCell ref="AS22:AS24"/>
    <mergeCell ref="AR12:AR13"/>
    <mergeCell ref="AT17:AT18"/>
    <mergeCell ref="AK12:AK13"/>
    <mergeCell ref="AI7:AI8"/>
    <mergeCell ref="AM14:AM15"/>
    <mergeCell ref="AN12:AN13"/>
    <mergeCell ref="AM12:AM13"/>
    <mergeCell ref="AL12:AL13"/>
    <mergeCell ref="AI10:AI11"/>
    <mergeCell ref="AJ10:AJ11"/>
    <mergeCell ref="DH9:DK9"/>
    <mergeCell ref="AH17:AH18"/>
    <mergeCell ref="AI17:AI18"/>
    <mergeCell ref="AM10:AM11"/>
    <mergeCell ref="AL17:AL18"/>
    <mergeCell ref="AM17:AM18"/>
    <mergeCell ref="AN14:AN15"/>
    <mergeCell ref="AL14:AL15"/>
    <mergeCell ref="AK14:AK15"/>
    <mergeCell ref="AJ14:AJ15"/>
    <mergeCell ref="AI14:AI15"/>
    <mergeCell ref="CH17:CH19"/>
    <mergeCell ref="AH10:AH11"/>
    <mergeCell ref="CJ14:CJ16"/>
    <mergeCell ref="DH19:DK19"/>
    <mergeCell ref="CZ22:DC22"/>
    <mergeCell ref="CO11:CP13"/>
    <mergeCell ref="DD11:DE12"/>
    <mergeCell ref="DH13:DK13"/>
    <mergeCell ref="DH15:DK16"/>
    <mergeCell ref="DH11:DK11"/>
    <mergeCell ref="DH14:DK14"/>
    <mergeCell ref="CZ11:DC12"/>
    <mergeCell ref="DH12:DK12"/>
    <mergeCell ref="CM20:CM22"/>
    <mergeCell ref="CN20:CN22"/>
    <mergeCell ref="AK10:AK11"/>
    <mergeCell ref="AJ7:AJ8"/>
    <mergeCell ref="AK7:AK8"/>
    <mergeCell ref="AL7:AL8"/>
    <mergeCell ref="AM7:AM8"/>
    <mergeCell ref="AK17:AK18"/>
    <mergeCell ref="CO20:CP22"/>
    <mergeCell ref="DH17:DK17"/>
    <mergeCell ref="DH18:DK18"/>
    <mergeCell ref="BC12:BC13"/>
    <mergeCell ref="BA12:BA13"/>
    <mergeCell ref="CO14:CP16"/>
    <mergeCell ref="AZ6:AZ8"/>
    <mergeCell ref="AW6:AY8"/>
    <mergeCell ref="AV7:AV9"/>
    <mergeCell ref="CO17:CP19"/>
    <mergeCell ref="BB14:BB15"/>
    <mergeCell ref="CF17:CG19"/>
    <mergeCell ref="AO14:AO15"/>
    <mergeCell ref="AR14:AR15"/>
    <mergeCell ref="AZ12:AZ13"/>
    <mergeCell ref="AW12:AY13"/>
    <mergeCell ref="CK7:CK10"/>
    <mergeCell ref="CL7:CL10"/>
    <mergeCell ref="DZ9:EB10"/>
    <mergeCell ref="EC9:EC10"/>
    <mergeCell ref="EE10:EE11"/>
    <mergeCell ref="DL19:DM19"/>
    <mergeCell ref="EE22:EE23"/>
    <mergeCell ref="DL13:DM13"/>
    <mergeCell ref="DL14:DM14"/>
    <mergeCell ref="DL17:DM17"/>
    <mergeCell ref="EC15:EC16"/>
    <mergeCell ref="DZ15:EB16"/>
    <mergeCell ref="EE20:EE21"/>
    <mergeCell ref="EE16:EE17"/>
    <mergeCell ref="DL10:DM10"/>
    <mergeCell ref="DL11:DM11"/>
    <mergeCell ref="DL12:DM12"/>
    <mergeCell ref="EC13:EC14"/>
    <mergeCell ref="DL15:DM16"/>
    <mergeCell ref="DL9:DM9"/>
    <mergeCell ref="DL18:DM18"/>
    <mergeCell ref="FC17:FD18"/>
    <mergeCell ref="EJ19:EK19"/>
    <mergeCell ref="EF24:EI24"/>
    <mergeCell ref="EJ25:EK25"/>
    <mergeCell ref="FD28:FE29"/>
    <mergeCell ref="EJ20:EK21"/>
    <mergeCell ref="EC27:EC28"/>
    <mergeCell ref="EF29:EI29"/>
    <mergeCell ref="EF25:EI25"/>
    <mergeCell ref="EJ18:EK18"/>
    <mergeCell ref="EF19:EI19"/>
    <mergeCell ref="EF16:EI17"/>
    <mergeCell ref="EF18:EI18"/>
    <mergeCell ref="EU15:EX16"/>
    <mergeCell ref="EY17:EZ18"/>
    <mergeCell ref="FE15:FF16"/>
    <mergeCell ref="EJ16:EK17"/>
    <mergeCell ref="EC25:EC26"/>
    <mergeCell ref="FG13:FH14"/>
    <mergeCell ref="DA1:DN2"/>
    <mergeCell ref="CZ9:DC9"/>
    <mergeCell ref="CZ4:DE5"/>
    <mergeCell ref="DD6:DE7"/>
    <mergeCell ref="EF8:EI8"/>
    <mergeCell ref="CY1:CZ2"/>
    <mergeCell ref="CZ6:DC7"/>
    <mergeCell ref="DL8:DM8"/>
    <mergeCell ref="CZ8:DC8"/>
    <mergeCell ref="DQ1:ED2"/>
    <mergeCell ref="EG1:ET2"/>
    <mergeCell ref="EF5:EI6"/>
    <mergeCell ref="DO1:DP2"/>
    <mergeCell ref="EJ5:EK6"/>
    <mergeCell ref="EJ7:EK7"/>
    <mergeCell ref="DH4:DM5"/>
    <mergeCell ref="DL6:DM7"/>
    <mergeCell ref="EF7:EI7"/>
    <mergeCell ref="EE5:EE6"/>
    <mergeCell ref="EE1:EF2"/>
    <mergeCell ref="EJ10:EK11"/>
    <mergeCell ref="EF9:EI9"/>
    <mergeCell ref="DH10:DK10"/>
    <mergeCell ref="FI5:FJ6"/>
    <mergeCell ref="EV1:FJ2"/>
    <mergeCell ref="EY5:EZ6"/>
    <mergeCell ref="FA5:FB6"/>
    <mergeCell ref="FC5:FD6"/>
    <mergeCell ref="EU9:EX10"/>
    <mergeCell ref="EU11:EX12"/>
    <mergeCell ref="EY9:EZ10"/>
    <mergeCell ref="FI7:FJ8"/>
    <mergeCell ref="FC11:FD12"/>
    <mergeCell ref="FG9:FH10"/>
    <mergeCell ref="FG11:FH12"/>
    <mergeCell ref="FE9:FF10"/>
    <mergeCell ref="FE11:FF12"/>
    <mergeCell ref="EU7:EX8"/>
    <mergeCell ref="FV15:FX17"/>
    <mergeCell ref="FY15:FZ17"/>
    <mergeCell ref="FY18:FZ20"/>
    <mergeCell ref="FN14:FP16"/>
    <mergeCell ref="FN19:FP21"/>
    <mergeCell ref="FI9:FJ10"/>
    <mergeCell ref="FI11:FJ12"/>
    <mergeCell ref="FI13:FJ14"/>
    <mergeCell ref="FI15:FJ16"/>
    <mergeCell ref="FQ19:FS21"/>
    <mergeCell ref="FV9:FX11"/>
    <mergeCell ref="FV18:FX20"/>
    <mergeCell ref="FI21:FJ22"/>
    <mergeCell ref="FV21:FX23"/>
    <mergeCell ref="FY21:FZ23"/>
    <mergeCell ref="GR20:GV20"/>
    <mergeCell ref="GR8:GV8"/>
    <mergeCell ref="GR9:GV9"/>
    <mergeCell ref="GR10:GV10"/>
    <mergeCell ref="GR19:GV19"/>
    <mergeCell ref="GR13:GV13"/>
    <mergeCell ref="GR14:GV14"/>
    <mergeCell ref="GR15:GV15"/>
    <mergeCell ref="GR16:GV16"/>
    <mergeCell ref="GR17:GV17"/>
    <mergeCell ref="GR18:GV18"/>
    <mergeCell ref="AG14:AG15"/>
    <mergeCell ref="AG12:AG13"/>
    <mergeCell ref="GS1:HE2"/>
    <mergeCell ref="HC5:HC6"/>
    <mergeCell ref="HD5:HD6"/>
    <mergeCell ref="HE5:HE6"/>
    <mergeCell ref="GR11:GV11"/>
    <mergeCell ref="GR12:GV12"/>
    <mergeCell ref="FQ9:FS11"/>
    <mergeCell ref="FM1:FZ2"/>
    <mergeCell ref="GQ1:GR2"/>
    <mergeCell ref="GZ5:GZ6"/>
    <mergeCell ref="HA5:HA6"/>
    <mergeCell ref="GX5:GX6"/>
    <mergeCell ref="GY5:GY6"/>
    <mergeCell ref="GC1:GP2"/>
    <mergeCell ref="FN4:FP6"/>
    <mergeCell ref="FQ4:FS6"/>
    <mergeCell ref="FN9:FP11"/>
    <mergeCell ref="FY9:FZ11"/>
    <mergeCell ref="HB5:HB6"/>
    <mergeCell ref="GW5:GW6"/>
    <mergeCell ref="FV12:FX14"/>
    <mergeCell ref="FY12:FZ14"/>
    <mergeCell ref="FK1:FL2"/>
    <mergeCell ref="F2:L5"/>
    <mergeCell ref="G7:K9"/>
    <mergeCell ref="DD22:DE22"/>
    <mergeCell ref="DD8:DE8"/>
    <mergeCell ref="DD9:DE9"/>
    <mergeCell ref="DD10:DE10"/>
    <mergeCell ref="DD13:DE14"/>
    <mergeCell ref="DD15:DE15"/>
    <mergeCell ref="DD16:DE16"/>
    <mergeCell ref="DD17:DE18"/>
    <mergeCell ref="DD19:DE20"/>
    <mergeCell ref="CZ10:DC10"/>
    <mergeCell ref="CZ13:DC14"/>
    <mergeCell ref="CZ15:DC15"/>
    <mergeCell ref="CZ16:DC16"/>
    <mergeCell ref="AP10:AP11"/>
    <mergeCell ref="AQ10:AQ11"/>
    <mergeCell ref="AH1:AV2"/>
    <mergeCell ref="AO10:AO11"/>
    <mergeCell ref="AG7:AG8"/>
    <mergeCell ref="AH14:AH15"/>
    <mergeCell ref="AR7:AR8"/>
    <mergeCell ref="AS5:AS6"/>
    <mergeCell ref="AZ26:AZ27"/>
    <mergeCell ref="BM20:BO20"/>
    <mergeCell ref="BM19:BO19"/>
    <mergeCell ref="AW10:AY11"/>
    <mergeCell ref="AT12:AT13"/>
    <mergeCell ref="BB10:BB11"/>
    <mergeCell ref="BM12:BO12"/>
    <mergeCell ref="BD14:BD15"/>
    <mergeCell ref="BM10:BO10"/>
    <mergeCell ref="BA10:BA11"/>
    <mergeCell ref="BC10:BC11"/>
    <mergeCell ref="BD10:BD11"/>
    <mergeCell ref="BB12:BB13"/>
    <mergeCell ref="BD12:BD13"/>
    <mergeCell ref="AV17:AV18"/>
    <mergeCell ref="AU17:AU18"/>
    <mergeCell ref="BC18:BC19"/>
    <mergeCell ref="BC14:BC15"/>
    <mergeCell ref="BB18:BB19"/>
    <mergeCell ref="BD21:BD22"/>
    <mergeCell ref="AV12:AV13"/>
    <mergeCell ref="AV14:AV15"/>
    <mergeCell ref="AU22:AU24"/>
    <mergeCell ref="BM11:BO11"/>
    <mergeCell ref="AH5:AH6"/>
    <mergeCell ref="AP5:AP6"/>
    <mergeCell ref="AI5:AI6"/>
    <mergeCell ref="BP4:BP6"/>
    <mergeCell ref="BQ4:BQ6"/>
    <mergeCell ref="AL5:AL6"/>
    <mergeCell ref="AM5:AM6"/>
    <mergeCell ref="AJ5:AJ6"/>
    <mergeCell ref="AO5:AO6"/>
    <mergeCell ref="AK5:AK6"/>
    <mergeCell ref="AN5:AN6"/>
    <mergeCell ref="BA6:BA8"/>
    <mergeCell ref="AS7:AS8"/>
    <mergeCell ref="AT7:AT8"/>
    <mergeCell ref="BB6:BB8"/>
    <mergeCell ref="BC6:BC8"/>
    <mergeCell ref="BD6:BD8"/>
    <mergeCell ref="AU7:AU9"/>
    <mergeCell ref="AP7:AP8"/>
    <mergeCell ref="AQ7:AQ8"/>
    <mergeCell ref="AT5:AT6"/>
    <mergeCell ref="AH7:AH8"/>
    <mergeCell ref="AO7:AO8"/>
    <mergeCell ref="AN7:AN8"/>
    <mergeCell ref="CH1:CX2"/>
    <mergeCell ref="BU4:BU6"/>
    <mergeCell ref="BR4:BR6"/>
    <mergeCell ref="BS4:BS6"/>
    <mergeCell ref="BT4:BT6"/>
    <mergeCell ref="AW1:AW2"/>
    <mergeCell ref="AX1:BK2"/>
    <mergeCell ref="BN1:CE2"/>
    <mergeCell ref="AV10:AV11"/>
    <mergeCell ref="AZ10:AZ11"/>
    <mergeCell ref="CM7:CM10"/>
    <mergeCell ref="CN7:CN10"/>
    <mergeCell ref="BM9:BO9"/>
    <mergeCell ref="CK11:CK13"/>
    <mergeCell ref="CL11:CL13"/>
    <mergeCell ref="CM11:CM13"/>
    <mergeCell ref="CN11:CN13"/>
    <mergeCell ref="CH11:CH13"/>
    <mergeCell ref="CI11:CI13"/>
    <mergeCell ref="CJ11:CJ13"/>
    <mergeCell ref="CF11:CG13"/>
    <mergeCell ref="BM13:BO13"/>
    <mergeCell ref="CH7:CH10"/>
    <mergeCell ref="BM16:BO16"/>
    <mergeCell ref="AZ18:AZ19"/>
    <mergeCell ref="BA14:BA15"/>
    <mergeCell ref="BB21:BB22"/>
    <mergeCell ref="BC21:BC22"/>
    <mergeCell ref="BM18:BO18"/>
    <mergeCell ref="BA16:BA17"/>
    <mergeCell ref="BA18:BA19"/>
    <mergeCell ref="AZ16:AZ17"/>
    <mergeCell ref="BB16:BB17"/>
    <mergeCell ref="BD16:BD17"/>
    <mergeCell ref="BD18:BD19"/>
    <mergeCell ref="AZ21:AZ22"/>
    <mergeCell ref="AZ14:AZ15"/>
    <mergeCell ref="BC16:BC17"/>
    <mergeCell ref="BM17:BO17"/>
    <mergeCell ref="AP17:AP18"/>
    <mergeCell ref="AR10:AR11"/>
    <mergeCell ref="AU12:AU13"/>
    <mergeCell ref="AU14:AU15"/>
    <mergeCell ref="AS14:AS15"/>
    <mergeCell ref="AT14:AT15"/>
    <mergeCell ref="AU10:AU11"/>
    <mergeCell ref="AS10:AS11"/>
    <mergeCell ref="AT10:AT11"/>
    <mergeCell ref="AQ14:AQ15"/>
    <mergeCell ref="AS12:AS13"/>
    <mergeCell ref="AQ12:AQ13"/>
    <mergeCell ref="AP12:AP13"/>
    <mergeCell ref="AM25:AM26"/>
    <mergeCell ref="AS38:AS40"/>
    <mergeCell ref="AN38:AN40"/>
    <mergeCell ref="AP38:AP40"/>
    <mergeCell ref="AQ25:AQ26"/>
    <mergeCell ref="AH25:AH26"/>
    <mergeCell ref="AH38:AI40"/>
    <mergeCell ref="AH43:AH44"/>
    <mergeCell ref="AI43:AI44"/>
    <mergeCell ref="AJ43:AJ44"/>
    <mergeCell ref="AH41:AH42"/>
    <mergeCell ref="AK43:AK44"/>
    <mergeCell ref="AL43:AL44"/>
    <mergeCell ref="AI41:AI42"/>
    <mergeCell ref="AJ41:AJ42"/>
    <mergeCell ref="AN43:AN44"/>
    <mergeCell ref="AM43:AM44"/>
    <mergeCell ref="AO41:AO42"/>
    <mergeCell ref="AR25:AR26"/>
    <mergeCell ref="AR38:AR40"/>
    <mergeCell ref="AN41:AN42"/>
    <mergeCell ref="AQ5:AQ6"/>
    <mergeCell ref="AR5:AR6"/>
    <mergeCell ref="AQ22:AQ24"/>
    <mergeCell ref="AW40:AY41"/>
    <mergeCell ref="AW38:AY39"/>
    <mergeCell ref="BD40:BD41"/>
    <mergeCell ref="BC40:BC41"/>
    <mergeCell ref="BD34:BD35"/>
    <mergeCell ref="BB38:BB39"/>
    <mergeCell ref="BB34:BB35"/>
    <mergeCell ref="BB40:BB41"/>
    <mergeCell ref="AZ36:AZ37"/>
    <mergeCell ref="BB36:BB37"/>
    <mergeCell ref="BA40:BA41"/>
    <mergeCell ref="BA38:BA39"/>
    <mergeCell ref="BA36:BA37"/>
    <mergeCell ref="AQ41:AQ42"/>
    <mergeCell ref="AW23:AY24"/>
    <mergeCell ref="BB23:BB24"/>
    <mergeCell ref="BA21:BA22"/>
    <mergeCell ref="AW21:AY22"/>
    <mergeCell ref="AW14:AY15"/>
    <mergeCell ref="AW16:AY17"/>
    <mergeCell ref="AW18:AY19"/>
    <mergeCell ref="FG15:FH16"/>
    <mergeCell ref="FA15:FB16"/>
    <mergeCell ref="FC15:FD16"/>
    <mergeCell ref="EY15:EZ16"/>
    <mergeCell ref="FC19:FD20"/>
    <mergeCell ref="FE17:FF18"/>
    <mergeCell ref="DL33:DM33"/>
    <mergeCell ref="DZ6:EB8"/>
    <mergeCell ref="EC6:EC8"/>
    <mergeCell ref="FE5:FF6"/>
    <mergeCell ref="FG5:FH6"/>
    <mergeCell ref="EU5:EX6"/>
    <mergeCell ref="EY7:EZ8"/>
    <mergeCell ref="FA7:FB8"/>
    <mergeCell ref="FC7:FD8"/>
    <mergeCell ref="FE7:FF8"/>
    <mergeCell ref="FG7:FH8"/>
    <mergeCell ref="FC13:FD14"/>
    <mergeCell ref="EY11:EZ12"/>
    <mergeCell ref="FA9:FB10"/>
    <mergeCell ref="FA11:FB12"/>
    <mergeCell ref="FA13:FB14"/>
    <mergeCell ref="EY13:EZ14"/>
    <mergeCell ref="EU13:EX14"/>
    <mergeCell ref="EZ33:FA34"/>
    <mergeCell ref="EY37:EY38"/>
    <mergeCell ref="EY39:EY40"/>
    <mergeCell ref="EZ37:FA38"/>
    <mergeCell ref="FE13:FF14"/>
    <mergeCell ref="DZ11:EB12"/>
    <mergeCell ref="EC11:EC12"/>
    <mergeCell ref="EJ15:EK15"/>
    <mergeCell ref="EJ13:EK13"/>
    <mergeCell ref="EF13:EI13"/>
    <mergeCell ref="EF10:EI11"/>
    <mergeCell ref="EF12:EI12"/>
    <mergeCell ref="EF14:EI14"/>
    <mergeCell ref="EJ14:EK14"/>
    <mergeCell ref="EJ12:EK12"/>
    <mergeCell ref="FC9:FD10"/>
    <mergeCell ref="EJ9:EK9"/>
    <mergeCell ref="EF15:EI15"/>
    <mergeCell ref="EJ22:EK23"/>
    <mergeCell ref="EJ29:EK29"/>
    <mergeCell ref="EC29:EC30"/>
    <mergeCell ref="EC20:EC22"/>
    <mergeCell ref="EE26:EE27"/>
    <mergeCell ref="EJ24:EK24"/>
    <mergeCell ref="DH37:DK37"/>
    <mergeCell ref="EC40:EC43"/>
    <mergeCell ref="DH40:DK43"/>
    <mergeCell ref="EF36:EI36"/>
    <mergeCell ref="CN42:CO43"/>
    <mergeCell ref="EX35:EX36"/>
    <mergeCell ref="EE31:EE32"/>
    <mergeCell ref="EF34:EI34"/>
    <mergeCell ref="EF35:EI35"/>
    <mergeCell ref="DH34:DK34"/>
    <mergeCell ref="DH38:DK38"/>
    <mergeCell ref="EX39:EX40"/>
    <mergeCell ref="EX41:EX42"/>
    <mergeCell ref="EX43:EX44"/>
    <mergeCell ref="EF48:EI51"/>
    <mergeCell ref="DK46:DL47"/>
    <mergeCell ref="FD48:FH49"/>
    <mergeCell ref="FD50:FH51"/>
    <mergeCell ref="DD33:DE33"/>
    <mergeCell ref="DD34:DE34"/>
    <mergeCell ref="CZ34:DC34"/>
    <mergeCell ref="CZ33:DC33"/>
    <mergeCell ref="DJ46:DJ47"/>
    <mergeCell ref="DG46:DI47"/>
    <mergeCell ref="DJ48:DJ50"/>
    <mergeCell ref="EF47:EI47"/>
    <mergeCell ref="EF46:EI46"/>
    <mergeCell ref="FD44:FH45"/>
    <mergeCell ref="FD46:FH47"/>
    <mergeCell ref="EJ36:EK36"/>
    <mergeCell ref="EC35:EC36"/>
    <mergeCell ref="DL34:DM34"/>
    <mergeCell ref="EF42:EI43"/>
    <mergeCell ref="DZ40:EB43"/>
    <mergeCell ref="EF44:EI45"/>
    <mergeCell ref="DL39:DM39"/>
    <mergeCell ref="ED47:ED48"/>
    <mergeCell ref="DZ33:EB34"/>
    <mergeCell ref="FI50:FJ51"/>
    <mergeCell ref="EU39:EW40"/>
    <mergeCell ref="EJ47:EK47"/>
    <mergeCell ref="FI38:FJ39"/>
    <mergeCell ref="FI40:FJ41"/>
    <mergeCell ref="FI42:FJ43"/>
    <mergeCell ref="FI46:FJ47"/>
    <mergeCell ref="FI48:FJ49"/>
    <mergeCell ref="EJ48:EK51"/>
    <mergeCell ref="FI44:FJ45"/>
    <mergeCell ref="EJ42:EK43"/>
    <mergeCell ref="EU45:EY48"/>
    <mergeCell ref="EZ45:FA47"/>
    <mergeCell ref="EZ41:FA42"/>
    <mergeCell ref="EZ43:FA44"/>
    <mergeCell ref="EJ39:EK41"/>
    <mergeCell ref="EJ46:EK46"/>
    <mergeCell ref="EJ44:EK45"/>
    <mergeCell ref="FD42:FH43"/>
    <mergeCell ref="EY41:EY42"/>
    <mergeCell ref="EY43:EY44"/>
    <mergeCell ref="FN41:FO44"/>
    <mergeCell ref="EZ39:FA40"/>
    <mergeCell ref="EU41:EW42"/>
    <mergeCell ref="EU43:EW44"/>
    <mergeCell ref="FD40:FH41"/>
    <mergeCell ref="CL38:CM39"/>
    <mergeCell ref="CN38:CO39"/>
    <mergeCell ref="FN36:FO38"/>
    <mergeCell ref="DM46:DM47"/>
    <mergeCell ref="EF38:EI38"/>
    <mergeCell ref="EF39:EI41"/>
    <mergeCell ref="DH39:DK39"/>
    <mergeCell ref="DL40:DM43"/>
    <mergeCell ref="EZ35:FA36"/>
    <mergeCell ref="EX37:EX38"/>
    <mergeCell ref="DL36:DM36"/>
    <mergeCell ref="DH35:DK35"/>
    <mergeCell ref="DL35:DM35"/>
    <mergeCell ref="FK41:FM44"/>
    <mergeCell ref="EE44:EE45"/>
    <mergeCell ref="DH36:DK36"/>
    <mergeCell ref="DL37:DM37"/>
    <mergeCell ref="DL38:DM38"/>
    <mergeCell ref="DZ35:EB36"/>
    <mergeCell ref="DK48:DL50"/>
    <mergeCell ref="DM48:DM50"/>
    <mergeCell ref="DG48:DI50"/>
    <mergeCell ref="I52:L53"/>
    <mergeCell ref="I42:L43"/>
    <mergeCell ref="CF36:CG41"/>
    <mergeCell ref="DD40:DE43"/>
    <mergeCell ref="CH34:CI35"/>
    <mergeCell ref="CH36:CI37"/>
    <mergeCell ref="CH38:CI39"/>
    <mergeCell ref="CH46:CI47"/>
    <mergeCell ref="CJ46:CK47"/>
    <mergeCell ref="CL46:CM47"/>
    <mergeCell ref="CN46:CO47"/>
    <mergeCell ref="CL40:CM41"/>
    <mergeCell ref="CN40:CO41"/>
    <mergeCell ref="CL48:CM49"/>
    <mergeCell ref="CN48:CO49"/>
    <mergeCell ref="CJ42:CK43"/>
    <mergeCell ref="I44:L45"/>
    <mergeCell ref="I46:L47"/>
    <mergeCell ref="CH44:CI45"/>
    <mergeCell ref="AQ45:AQ46"/>
    <mergeCell ref="AR45:AR46"/>
    <mergeCell ref="I26:L27"/>
    <mergeCell ref="I28:L29"/>
    <mergeCell ref="I30:L31"/>
    <mergeCell ref="I32:L33"/>
    <mergeCell ref="I34:L35"/>
    <mergeCell ref="I36:L37"/>
    <mergeCell ref="I38:L39"/>
    <mergeCell ref="I40:L41"/>
    <mergeCell ref="I24:L25"/>
    <mergeCell ref="A49:C50"/>
    <mergeCell ref="D49:G50"/>
    <mergeCell ref="AR49:AR50"/>
    <mergeCell ref="AR47:AR48"/>
    <mergeCell ref="AP47:AP48"/>
    <mergeCell ref="AN45:AN46"/>
    <mergeCell ref="AO47:AO48"/>
    <mergeCell ref="AO45:AO46"/>
    <mergeCell ref="AP45:AP46"/>
    <mergeCell ref="I48:L49"/>
    <mergeCell ref="I50:L51"/>
    <mergeCell ref="AG47:AG48"/>
    <mergeCell ref="AI47:AI48"/>
    <mergeCell ref="AH49:AI50"/>
    <mergeCell ref="AM47:AM48"/>
    <mergeCell ref="AH47:AH48"/>
    <mergeCell ref="AN49:AN50"/>
    <mergeCell ref="AJ49:AJ50"/>
    <mergeCell ref="AL45:AL46"/>
    <mergeCell ref="AM45:AM46"/>
    <mergeCell ref="AK45:AK46"/>
    <mergeCell ref="AK47:AK48"/>
    <mergeCell ref="AL47:AL48"/>
    <mergeCell ref="AI45:AI46"/>
    <mergeCell ref="CF14:CG16"/>
    <mergeCell ref="CH14:CH16"/>
    <mergeCell ref="CI14:CI16"/>
    <mergeCell ref="AU49:AU50"/>
    <mergeCell ref="AU47:AU48"/>
    <mergeCell ref="AU45:AU46"/>
    <mergeCell ref="AH45:AH46"/>
    <mergeCell ref="AP41:AP42"/>
    <mergeCell ref="AV47:AV48"/>
    <mergeCell ref="AV49:AV50"/>
    <mergeCell ref="BD43:BD44"/>
    <mergeCell ref="AW43:AY44"/>
    <mergeCell ref="BA43:BA44"/>
    <mergeCell ref="AV45:AV46"/>
    <mergeCell ref="BB32:BB33"/>
    <mergeCell ref="AT47:AT48"/>
    <mergeCell ref="AR41:AR42"/>
    <mergeCell ref="AT25:AT26"/>
    <mergeCell ref="AT38:AT40"/>
    <mergeCell ref="AT41:AT42"/>
    <mergeCell ref="AU38:AU40"/>
    <mergeCell ref="AU41:AU42"/>
    <mergeCell ref="AV38:AV40"/>
    <mergeCell ref="AV41:AV42"/>
  </mergeCells>
  <pageMargins left="0.23622047244094491" right="0.23622047244094491" top="0.43307086614173229" bottom="0.23622047244094491" header="0.19685039370078741" footer="0"/>
  <pageSetup paperSize="9" scale="110" orientation="landscape" r:id="rId1"/>
  <drawing r:id="rId2"/>
  <extLst>
    <ext xmlns:x14="http://schemas.microsoft.com/office/spreadsheetml/2009/9/main" uri="{05C60535-1F16-4fd2-B633-F4F36F0B64E0}">
      <x14:sparklineGroups xmlns:xm="http://schemas.microsoft.com/office/excel/2006/main">
        <x14:sparklineGroup manualMax="0" manualMin="0" lineWeight="2.25" displayEmptyCellsAs="gap" markers="1" xr2:uid="{00000000-0003-0000-0900-000004000000}">
          <x14:colorSeries rgb="FF31869B"/>
          <x14:colorNegative rgb="FFD00000"/>
          <x14:colorAxis rgb="FF000000"/>
          <x14:colorMarkers rgb="FF31869B"/>
          <x14:colorFirst rgb="FFD00000"/>
          <x14:colorLast rgb="FFD00000"/>
          <x14:colorHigh rgb="FFD00000"/>
          <x14:colorLow rgb="FFD00000"/>
          <x14:sparklines>
            <x14:sparkline>
              <xm:f>'Bilan complet'!GW13:HC13</xm:f>
              <xm:sqref>HE13</xm:sqref>
            </x14:sparkline>
            <x14:sparkline>
              <xm:f>'Bilan complet'!GW14:HC14</xm:f>
              <xm:sqref>HE14</xm:sqref>
            </x14:sparkline>
            <x14:sparkline>
              <xm:f>'Bilan complet'!GW15:HC15</xm:f>
              <xm:sqref>HE15</xm:sqref>
            </x14:sparkline>
            <x14:sparkline>
              <xm:f>'Bilan complet'!GW16:HC16</xm:f>
              <xm:sqref>HE16</xm:sqref>
            </x14:sparkline>
          </x14:sparklines>
        </x14:sparklineGroup>
        <x14:sparklineGroup manualMax="0" manualMin="0" lineWeight="2.25" displayEmptyCellsAs="gap" markers="1" xr2:uid="{00000000-0003-0000-0900-000003000000}">
          <x14:colorSeries rgb="FF31869B"/>
          <x14:colorNegative rgb="FFD00000"/>
          <x14:colorAxis rgb="FF000000"/>
          <x14:colorMarkers rgb="FF31869B"/>
          <x14:colorFirst rgb="FFD00000"/>
          <x14:colorLast rgb="FFD00000"/>
          <x14:colorHigh rgb="FFD00000"/>
          <x14:colorLow rgb="FFD00000"/>
          <x14:sparklines>
            <x14:sparkline>
              <xm:f>'Bilan complet'!GW8:HC8</xm:f>
              <xm:sqref>HE8</xm:sqref>
            </x14:sparkline>
            <x14:sparkline>
              <xm:f>'Bilan complet'!GW9:HC9</xm:f>
              <xm:sqref>HE9</xm:sqref>
            </x14:sparkline>
          </x14:sparklines>
        </x14:sparklineGroup>
        <x14:sparklineGroup manualMax="0" manualMin="0" lineWeight="2.25" displayEmptyCellsAs="gap" markers="1" xr2:uid="{00000000-0003-0000-0900-000002000000}">
          <x14:colorSeries rgb="FF31869B"/>
          <x14:colorNegative rgb="FFD00000"/>
          <x14:colorAxis rgb="FF000000"/>
          <x14:colorMarkers rgb="FF31869B"/>
          <x14:colorFirst rgb="FFD00000"/>
          <x14:colorLast rgb="FFD00000"/>
          <x14:colorHigh rgb="FFD00000"/>
          <x14:colorLow rgb="FFD00000"/>
          <x14:sparklines>
            <x14:sparkline>
              <xm:f>'Bilan complet'!GW10:HC10</xm:f>
              <xm:sqref>HE10</xm:sqref>
            </x14:sparkline>
          </x14:sparklines>
        </x14:sparklineGroup>
        <x14:sparklineGroup manualMax="0" manualMin="0" lineWeight="2.25" displayEmptyCellsAs="gap" markers="1" xr2:uid="{00000000-0003-0000-0900-000001000000}">
          <x14:colorSeries rgb="FF31869B"/>
          <x14:colorNegative rgb="FFD00000"/>
          <x14:colorAxis rgb="FF000000"/>
          <x14:colorMarkers rgb="FF31869B"/>
          <x14:colorFirst rgb="FFD00000"/>
          <x14:colorLast rgb="FFD00000"/>
          <x14:colorHigh rgb="FFD00000"/>
          <x14:colorLow rgb="FFD00000"/>
          <x14:sparklines>
            <x14:sparkline>
              <xm:f>'Bilan complet'!GW11:HC11</xm:f>
              <xm:sqref>HE11</xm:sqref>
            </x14:sparkline>
          </x14:sparklines>
        </x14:sparklineGroup>
        <x14:sparklineGroup manualMax="0" manualMin="0" lineWeight="2.25" displayEmptyCellsAs="gap" markers="1" xr2:uid="{00000000-0003-0000-0900-000000000000}">
          <x14:colorSeries rgb="FF31869B"/>
          <x14:colorNegative rgb="FFD00000"/>
          <x14:colorAxis rgb="FF000000"/>
          <x14:colorMarkers rgb="FF31869B"/>
          <x14:colorFirst rgb="FFD00000"/>
          <x14:colorLast rgb="FFD00000"/>
          <x14:colorHigh rgb="FFD00000"/>
          <x14:colorLow rgb="FFD00000"/>
          <x14:sparklines>
            <x14:sparkline>
              <xm:f>'Bilan complet'!GW12:HC12</xm:f>
              <xm:sqref>HE12</xm:sqref>
            </x14:sparkline>
          </x14:sparklines>
        </x14:sparklineGroup>
        <x14:sparklineGroup manualMax="0" manualMin="0" lineWeight="2.25" displayEmptyCellsAs="gap" markers="1" xr2:uid="{00000000-0003-0000-0900-000005000000}">
          <x14:colorSeries rgb="FF31869B"/>
          <x14:colorNegative rgb="FFD00000"/>
          <x14:colorAxis rgb="FF000000"/>
          <x14:colorMarkers rgb="FF31869B"/>
          <x14:colorFirst rgb="FFD00000"/>
          <x14:colorLast rgb="FFD00000"/>
          <x14:colorHigh rgb="FFD00000"/>
          <x14:colorLow rgb="FFD00000"/>
          <x14:sparklines>
            <x14:sparkline>
              <xm:f>'Bilan complet'!GW17:HC17</xm:f>
              <xm:sqref>HE17</xm:sqref>
            </x14:sparkline>
          </x14:sparklines>
        </x14:sparklineGroup>
        <x14:sparklineGroup manualMax="0" manualMin="0" lineWeight="2.25" displayEmptyCellsAs="gap" markers="1" xr2:uid="{00000000-0003-0000-0900-000006000000}">
          <x14:colorSeries rgb="FF31869B"/>
          <x14:colorNegative rgb="FFD00000"/>
          <x14:colorAxis rgb="FF000000"/>
          <x14:colorMarkers rgb="FF31869B"/>
          <x14:colorFirst rgb="FFD00000"/>
          <x14:colorLast rgb="FFD00000"/>
          <x14:colorHigh rgb="FFD00000"/>
          <x14:colorLow rgb="FFD00000"/>
          <x14:sparklines>
            <x14:sparkline>
              <xm:f>'Bilan complet'!GW18:HC18</xm:f>
              <xm:sqref>HE18</xm:sqref>
            </x14:sparkline>
          </x14:sparklines>
        </x14:sparklineGroup>
        <x14:sparklineGroup manualMax="0" manualMin="0" lineWeight="2.25" displayEmptyCellsAs="gap" markers="1" xr2:uid="{00000000-0003-0000-0900-000007000000}">
          <x14:colorSeries rgb="FF31869B"/>
          <x14:colorNegative rgb="FFD00000"/>
          <x14:colorAxis rgb="FF000000"/>
          <x14:colorMarkers rgb="FF31869B"/>
          <x14:colorFirst rgb="FFD00000"/>
          <x14:colorLast rgb="FFD00000"/>
          <x14:colorHigh rgb="FFD00000"/>
          <x14:colorLow rgb="FFD00000"/>
          <x14:sparklines>
            <x14:sparkline>
              <xm:f>'Bilan complet'!GW19:HC19</xm:f>
              <xm:sqref>HE19</xm:sqref>
            </x14:sparkline>
          </x14:sparklines>
        </x14:sparklineGroup>
        <x14:sparklineGroup manualMax="0" manualMin="0" lineWeight="2.25" displayEmptyCellsAs="gap" markers="1" xr2:uid="{00000000-0003-0000-0900-000008000000}">
          <x14:colorSeries rgb="FF31869B"/>
          <x14:colorNegative rgb="FFD00000"/>
          <x14:colorAxis rgb="FF000000"/>
          <x14:colorMarkers rgb="FF31869B"/>
          <x14:colorFirst rgb="FFD00000"/>
          <x14:colorLast rgb="FFD00000"/>
          <x14:colorHigh rgb="FFD00000"/>
          <x14:colorLow rgb="FFD00000"/>
          <x14:sparklines>
            <x14:sparkline>
              <xm:f>'Bilan complet'!GW20:HC20</xm:f>
              <xm:sqref>HE20</xm:sqref>
            </x14:sparkline>
            <x14:sparkline>
              <xm:f>'Bilan complet'!GW21:HC21</xm:f>
              <xm:sqref>HE21</xm:sqref>
            </x14:sparkline>
          </x14:sparklines>
        </x14:sparklineGroup>
        <x14:sparklineGroup manualMax="0" manualMin="0" lineWeight="2.25" displayEmptyCellsAs="gap" markers="1" xr2:uid="{00000000-0003-0000-0900-000009000000}">
          <x14:colorSeries rgb="FF31869B"/>
          <x14:colorNegative rgb="FFD00000"/>
          <x14:colorAxis rgb="FF000000"/>
          <x14:colorMarkers rgb="FF31869B"/>
          <x14:colorFirst rgb="FFD00000"/>
          <x14:colorLast rgb="FFD00000"/>
          <x14:colorHigh rgb="FFD00000"/>
          <x14:colorLow rgb="FFD00000"/>
          <x14:sparklines>
            <x14:sparkline>
              <xm:f>'Bilan complet'!GW22:HC22</xm:f>
              <xm:sqref>HE22</xm:sqref>
            </x14:sparkline>
          </x14:sparklines>
        </x14:sparklineGroup>
        <x14:sparklineGroup manualMax="0" manualMin="0" lineWeight="2.25" displayEmptyCellsAs="gap" markers="1" xr2:uid="{00000000-0003-0000-0900-000012000000}">
          <x14:colorSeries rgb="FF31869B"/>
          <x14:colorNegative rgb="FFD00000"/>
          <x14:colorAxis rgb="FF000000"/>
          <x14:colorMarkers rgb="FF31869B"/>
          <x14:colorFirst rgb="FFD00000"/>
          <x14:colorLast rgb="FFD00000"/>
          <x14:colorHigh rgb="FFD00000"/>
          <x14:colorLow rgb="FFD00000"/>
          <x14:sparklines>
            <x14:sparkline>
              <xm:f>'Bilan complet'!GW32:HC32</xm:f>
              <xm:sqref>HE32</xm:sqref>
            </x14:sparkline>
            <x14:sparkline>
              <xm:f>'Bilan complet'!GW33:HC33</xm:f>
              <xm:sqref>HE33</xm:sqref>
            </x14:sparkline>
            <x14:sparkline>
              <xm:f>'Bilan complet'!GW34:HC34</xm:f>
              <xm:sqref>HE34</xm:sqref>
            </x14:sparkline>
            <x14:sparkline>
              <xm:f>'Bilan complet'!GW35:HC35</xm:f>
              <xm:sqref>HE35</xm:sqref>
            </x14:sparkline>
            <x14:sparkline>
              <xm:f>'Bilan complet'!GW36:HC36</xm:f>
              <xm:sqref>HE36</xm:sqref>
            </x14:sparkline>
            <x14:sparkline>
              <xm:f>'Bilan complet'!GW37:HC37</xm:f>
              <xm:sqref>HE37</xm:sqref>
            </x14:sparkline>
            <x14:sparkline>
              <xm:f>'Bilan complet'!GW38:HC38</xm:f>
              <xm:sqref>HE38</xm:sqref>
            </x14:sparkline>
            <x14:sparkline>
              <xm:f>'Bilan complet'!GW39:HC39</xm:f>
              <xm:sqref>HE39</xm:sqref>
            </x14:sparkline>
            <x14:sparkline>
              <xm:f>'Bilan complet'!GW40:HC40</xm:f>
              <xm:sqref>HE40</xm:sqref>
            </x14:sparkline>
            <x14:sparkline>
              <xm:f>'Bilan complet'!GW41:HC41</xm:f>
              <xm:sqref>HE41</xm:sqref>
            </x14:sparkline>
          </x14:sparklines>
        </x14:sparklineGroup>
        <x14:sparklineGroup manualMax="0" manualMin="0" lineWeight="2.25" displayEmptyCellsAs="gap" markers="1" xr2:uid="{00000000-0003-0000-0900-000011000000}">
          <x14:colorSeries rgb="FF31869B"/>
          <x14:colorNegative rgb="FFD00000"/>
          <x14:colorAxis rgb="FF000000"/>
          <x14:colorMarkers rgb="FF31869B"/>
          <x14:colorFirst rgb="FFD00000"/>
          <x14:colorLast rgb="FFD00000"/>
          <x14:colorHigh rgb="FFD00000"/>
          <x14:colorLow rgb="FFD00000"/>
          <x14:sparklines>
            <x14:sparkline>
              <xm:f>'Bilan complet'!GW31:HC31</xm:f>
              <xm:sqref>HE31</xm:sqref>
            </x14:sparkline>
          </x14:sparklines>
        </x14:sparklineGroup>
        <x14:sparklineGroup manualMax="0" manualMin="0" lineWeight="2.25" displayEmptyCellsAs="gap" markers="1" xr2:uid="{00000000-0003-0000-0900-000010000000}">
          <x14:colorSeries rgb="FF31869B"/>
          <x14:colorNegative rgb="FFD00000"/>
          <x14:colorAxis rgb="FF000000"/>
          <x14:colorMarkers rgb="FF31869B"/>
          <x14:colorFirst rgb="FFD00000"/>
          <x14:colorLast rgb="FFD00000"/>
          <x14:colorHigh rgb="FFD00000"/>
          <x14:colorLow rgb="FFD00000"/>
          <x14:sparklines>
            <x14:sparkline>
              <xm:f>'Bilan complet'!GW30:HC30</xm:f>
              <xm:sqref>HE30</xm:sqref>
            </x14:sparkline>
          </x14:sparklines>
        </x14:sparklineGroup>
        <x14:sparklineGroup manualMax="0" manualMin="0" lineWeight="2.25" displayEmptyCellsAs="gap" markers="1" xr2:uid="{00000000-0003-0000-0900-00000F000000}">
          <x14:colorSeries rgb="FF31869B"/>
          <x14:colorNegative rgb="FFD00000"/>
          <x14:colorAxis rgb="FF000000"/>
          <x14:colorMarkers rgb="FF31869B"/>
          <x14:colorFirst rgb="FFD00000"/>
          <x14:colorLast rgb="FFD00000"/>
          <x14:colorHigh rgb="FFD00000"/>
          <x14:colorLow rgb="FFD00000"/>
          <x14:sparklines>
            <x14:sparkline>
              <xm:f>'Bilan complet'!GW29:HC29</xm:f>
              <xm:sqref>HE29</xm:sqref>
            </x14:sparkline>
          </x14:sparklines>
        </x14:sparklineGroup>
        <x14:sparklineGroup manualMax="0" manualMin="0" lineWeight="2.25" displayEmptyCellsAs="gap" markers="1" xr2:uid="{00000000-0003-0000-0900-00000E000000}">
          <x14:colorSeries rgb="FF31869B"/>
          <x14:colorNegative rgb="FFD00000"/>
          <x14:colorAxis rgb="FF000000"/>
          <x14:colorMarkers rgb="FF31869B"/>
          <x14:colorFirst rgb="FFD00000"/>
          <x14:colorLast rgb="FFD00000"/>
          <x14:colorHigh rgb="FFD00000"/>
          <x14:colorLow rgb="FFD00000"/>
          <x14:sparklines>
            <x14:sparkline>
              <xm:f>'Bilan complet'!GW28:HC28</xm:f>
              <xm:sqref>HE28</xm:sqref>
            </x14:sparkline>
          </x14:sparklines>
        </x14:sparklineGroup>
        <x14:sparklineGroup manualMax="0" manualMin="0" lineWeight="2.25" displayEmptyCellsAs="gap" markers="1" xr2:uid="{00000000-0003-0000-0900-00000D000000}">
          <x14:colorSeries rgb="FF31869B"/>
          <x14:colorNegative rgb="FFD00000"/>
          <x14:colorAxis rgb="FF000000"/>
          <x14:colorMarkers rgb="FF31869B"/>
          <x14:colorFirst rgb="FFD00000"/>
          <x14:colorLast rgb="FFD00000"/>
          <x14:colorHigh rgb="FFD00000"/>
          <x14:colorLow rgb="FFD00000"/>
          <x14:sparklines>
            <x14:sparkline>
              <xm:f>'Bilan complet'!GW27:HC27</xm:f>
              <xm:sqref>HE27</xm:sqref>
            </x14:sparkline>
          </x14:sparklines>
        </x14:sparklineGroup>
        <x14:sparklineGroup manualMax="0" manualMin="0" lineWeight="2.25" displayEmptyCellsAs="gap" markers="1" xr2:uid="{00000000-0003-0000-0900-00000C000000}">
          <x14:colorSeries rgb="FF31869B"/>
          <x14:colorNegative rgb="FFD00000"/>
          <x14:colorAxis rgb="FF000000"/>
          <x14:colorMarkers rgb="FF31869B"/>
          <x14:colorFirst rgb="FFD00000"/>
          <x14:colorLast rgb="FFD00000"/>
          <x14:colorHigh rgb="FFD00000"/>
          <x14:colorLow rgb="FFD00000"/>
          <x14:sparklines>
            <x14:sparkline>
              <xm:f>'Bilan complet'!GW25:HC25</xm:f>
              <xm:sqref>HE25</xm:sqref>
            </x14:sparkline>
            <x14:sparkline>
              <xm:f>'Bilan complet'!GW26:HC26</xm:f>
              <xm:sqref>HE26</xm:sqref>
            </x14:sparkline>
          </x14:sparklines>
        </x14:sparklineGroup>
        <x14:sparklineGroup manualMax="0" manualMin="0" lineWeight="2.25" displayEmptyCellsAs="gap" markers="1" xr2:uid="{00000000-0003-0000-0900-00000B000000}">
          <x14:colorSeries rgb="FF31869B"/>
          <x14:colorNegative rgb="FFD00000"/>
          <x14:colorAxis rgb="FF000000"/>
          <x14:colorMarkers rgb="FF31869B"/>
          <x14:colorFirst rgb="FFD00000"/>
          <x14:colorLast rgb="FFD00000"/>
          <x14:colorHigh rgb="FFD00000"/>
          <x14:colorLow rgb="FFD00000"/>
          <x14:sparklines>
            <x14:sparkline>
              <xm:f>'Bilan complet'!GW24:HC24</xm:f>
              <xm:sqref>HE24</xm:sqref>
            </x14:sparkline>
          </x14:sparklines>
        </x14:sparklineGroup>
        <x14:sparklineGroup manualMax="0" manualMin="0" lineWeight="2.25" displayEmptyCellsAs="gap" markers="1" xr2:uid="{00000000-0003-0000-0900-00000A000000}">
          <x14:colorSeries rgb="FF31869B"/>
          <x14:colorNegative rgb="FFD00000"/>
          <x14:colorAxis rgb="FF000000"/>
          <x14:colorMarkers rgb="FF31869B"/>
          <x14:colorFirst rgb="FFD00000"/>
          <x14:colorLast rgb="FFD00000"/>
          <x14:colorHigh rgb="FFD00000"/>
          <x14:colorLow rgb="FFD00000"/>
          <x14:sparklines>
            <x14:sparkline>
              <xm:f>'Bilan complet'!GW23:HC23</xm:f>
              <xm:sqref>HE23</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C0099"/>
  </sheetPr>
  <dimension ref="A1:X48"/>
  <sheetViews>
    <sheetView showGridLines="0" showRuler="0" view="pageLayout" zoomScale="90" zoomScaleNormal="170" zoomScalePageLayoutView="90" workbookViewId="0">
      <selection activeCell="E9" sqref="E9"/>
    </sheetView>
  </sheetViews>
  <sheetFormatPr baseColWidth="10" defaultColWidth="11" defaultRowHeight="18" x14ac:dyDescent="0.5"/>
  <cols>
    <col min="1" max="18" width="5" customWidth="1"/>
    <col min="19" max="24" width="4.77734375" customWidth="1"/>
    <col min="25" max="28" width="4.21875" customWidth="1"/>
  </cols>
  <sheetData>
    <row r="1" spans="1:24" ht="18" customHeight="1" x14ac:dyDescent="0.5">
      <c r="D1" s="1507" t="s">
        <v>677</v>
      </c>
      <c r="E1" s="1507"/>
      <c r="F1" s="1507"/>
      <c r="G1" s="1507"/>
      <c r="H1" s="1507"/>
      <c r="I1" s="1507"/>
      <c r="J1" s="1507"/>
      <c r="K1" s="1507"/>
      <c r="L1" s="1507"/>
      <c r="M1" s="1507"/>
      <c r="N1" s="164"/>
      <c r="O1" s="133"/>
      <c r="P1" s="133"/>
      <c r="Q1" s="133"/>
    </row>
    <row r="2" spans="1:24" ht="7.95" customHeight="1" x14ac:dyDescent="0.5">
      <c r="X2">
        <f>'Bilan simplifié'!J1</f>
        <v>0</v>
      </c>
    </row>
    <row r="3" spans="1:24" ht="18" customHeight="1" x14ac:dyDescent="0.5">
      <c r="E3" s="143"/>
      <c r="F3" s="143"/>
      <c r="G3" s="1508">
        <f>Exploitation!B3</f>
        <v>0</v>
      </c>
      <c r="H3" s="1508"/>
      <c r="I3" s="1508"/>
      <c r="J3" s="1508"/>
      <c r="K3" s="143"/>
      <c r="L3" s="143"/>
    </row>
    <row r="4" spans="1:24" ht="18" customHeight="1" x14ac:dyDescent="0.5">
      <c r="E4" s="1508">
        <f>Exploitation!B6</f>
        <v>0</v>
      </c>
      <c r="F4" s="1508"/>
      <c r="G4" s="1508"/>
      <c r="H4" s="143"/>
      <c r="I4" s="143"/>
      <c r="J4" s="1508">
        <f>Exploitation!B7</f>
        <v>0</v>
      </c>
      <c r="K4" s="1508"/>
      <c r="L4" s="1508"/>
      <c r="X4" s="165"/>
    </row>
    <row r="5" spans="1:24" ht="16.2" customHeight="1" x14ac:dyDescent="0.5">
      <c r="E5" s="143"/>
      <c r="F5" s="143"/>
      <c r="G5" s="143"/>
      <c r="H5" s="1508" t="str">
        <f>Exploitation!B2</f>
        <v>2023</v>
      </c>
      <c r="I5" s="1509"/>
      <c r="J5" s="143"/>
      <c r="K5" s="143"/>
      <c r="L5" s="143"/>
    </row>
    <row r="6" spans="1:24" ht="7.2" customHeight="1" x14ac:dyDescent="0.5"/>
    <row r="7" spans="1:24" ht="9.6" customHeight="1" x14ac:dyDescent="0.5"/>
    <row r="8" spans="1:24" ht="18" customHeight="1" x14ac:dyDescent="0.5">
      <c r="K8" s="133"/>
      <c r="L8" s="133"/>
      <c r="M8" s="1521" t="s">
        <v>678</v>
      </c>
      <c r="N8" s="1521"/>
      <c r="O8" s="1521"/>
      <c r="P8" s="133"/>
      <c r="Q8" s="133"/>
    </row>
    <row r="9" spans="1:24" ht="29.4" x14ac:dyDescent="0.5">
      <c r="A9" t="s">
        <v>8</v>
      </c>
      <c r="J9" s="1518" t="str">
        <f>Exploitation!B2</f>
        <v>2023</v>
      </c>
      <c r="K9" s="1519"/>
      <c r="L9" s="1520"/>
      <c r="M9" s="1524">
        <f>Exploitation!B12</f>
        <v>0</v>
      </c>
      <c r="N9" s="1525"/>
      <c r="O9" s="1526"/>
      <c r="P9" s="142"/>
      <c r="Q9" s="133"/>
    </row>
    <row r="10" spans="1:24" ht="12" customHeight="1" x14ac:dyDescent="0.5">
      <c r="K10" s="133"/>
      <c r="L10" s="133"/>
      <c r="M10" s="133"/>
      <c r="N10" s="220"/>
      <c r="O10" s="133"/>
      <c r="P10" s="133"/>
      <c r="Q10" s="133"/>
    </row>
    <row r="11" spans="1:24" x14ac:dyDescent="0.5">
      <c r="B11" s="1510" t="s">
        <v>30</v>
      </c>
      <c r="C11" s="1510"/>
      <c r="D11" s="1510"/>
      <c r="E11" s="1510"/>
      <c r="F11" s="1510"/>
      <c r="G11" s="1510"/>
      <c r="H11" s="1510"/>
      <c r="I11" s="1510"/>
      <c r="J11" s="1511" t="e">
        <f>Exploitation!H17-Exploitation!E33</f>
        <v>#VALUE!</v>
      </c>
      <c r="K11" s="1512"/>
      <c r="L11" s="1512"/>
      <c r="M11" s="1515" t="e">
        <f>HLOOKUP(Exploitation!B12,Références!D18:N55,2,FALSE)</f>
        <v>#N/A</v>
      </c>
      <c r="N11" s="1516"/>
      <c r="O11" s="1517"/>
    </row>
    <row r="12" spans="1:24" x14ac:dyDescent="0.5">
      <c r="B12" s="1510" t="s">
        <v>679</v>
      </c>
      <c r="C12" s="1510"/>
      <c r="D12" s="1510"/>
      <c r="E12" s="1510"/>
      <c r="F12" s="1510"/>
      <c r="G12" s="1510"/>
      <c r="H12" s="1510"/>
      <c r="I12" s="1510"/>
      <c r="J12" s="1522">
        <f>Exploitation!B15</f>
        <v>0</v>
      </c>
      <c r="K12" s="1512"/>
      <c r="L12" s="1512"/>
      <c r="M12" s="1515" t="e">
        <f>HLOOKUP(Exploitation!B12,Références!D18:N55,3,FALSE)</f>
        <v>#N/A</v>
      </c>
      <c r="N12" s="1516"/>
      <c r="O12" s="1517"/>
    </row>
    <row r="13" spans="1:24" x14ac:dyDescent="0.5">
      <c r="B13" s="1510" t="s">
        <v>68</v>
      </c>
      <c r="C13" s="1510"/>
      <c r="D13" s="1510"/>
      <c r="E13" s="1510"/>
      <c r="F13" s="1510"/>
      <c r="G13" s="1510"/>
      <c r="H13" s="1510"/>
      <c r="I13" s="1510"/>
      <c r="J13" s="1522">
        <f>' Elevage'!P3</f>
        <v>0</v>
      </c>
      <c r="K13" s="1512"/>
      <c r="L13" s="1523"/>
      <c r="M13" s="1515" t="e">
        <f>HLOOKUP(Exploitation!B12,Références!D18:N55,4,FALSE)</f>
        <v>#N/A</v>
      </c>
      <c r="N13" s="1516"/>
      <c r="O13" s="1517"/>
    </row>
    <row r="14" spans="1:24" x14ac:dyDescent="0.5">
      <c r="B14" s="1510" t="s">
        <v>337</v>
      </c>
      <c r="C14" s="1510"/>
      <c r="D14" s="1510"/>
      <c r="E14" s="1510"/>
      <c r="F14" s="1510"/>
      <c r="G14" s="1510"/>
      <c r="H14" s="1510"/>
      <c r="I14" s="1510"/>
      <c r="J14" s="1513" t="str">
        <f>IF(' Elevage'!C3=0,"",(' Elevage'!O3-' Elevage'!C3)/' Elevage'!C3)</f>
        <v/>
      </c>
      <c r="K14" s="1513"/>
      <c r="L14" s="1513"/>
      <c r="M14" s="760"/>
      <c r="N14" s="760"/>
      <c r="O14" s="760"/>
    </row>
    <row r="15" spans="1:24" ht="12" customHeight="1" x14ac:dyDescent="0.5">
      <c r="B15" s="77"/>
      <c r="C15" s="77"/>
      <c r="D15" s="77"/>
      <c r="E15" s="77"/>
      <c r="F15" s="77"/>
      <c r="G15" s="77"/>
      <c r="H15" s="77"/>
      <c r="I15" s="77"/>
    </row>
    <row r="16" spans="1:24" x14ac:dyDescent="0.5">
      <c r="B16" s="1510" t="s">
        <v>345</v>
      </c>
      <c r="C16" s="1510"/>
      <c r="D16" s="1510"/>
      <c r="E16" s="1510"/>
      <c r="F16" s="1510"/>
      <c r="G16" s="1510"/>
      <c r="H16" s="1510"/>
      <c r="I16" s="1510"/>
      <c r="J16" s="1513" t="str">
        <f>'Bilan complet'!AT49</f>
        <v/>
      </c>
      <c r="K16" s="1513"/>
      <c r="L16" s="1513"/>
      <c r="M16" s="1527" t="e">
        <f>HLOOKUP(Exploitation!B12,Références!D18:N55,5,FALSE)</f>
        <v>#N/A</v>
      </c>
      <c r="N16" s="1528"/>
      <c r="O16" s="1529"/>
    </row>
    <row r="17" spans="2:15" x14ac:dyDescent="0.5">
      <c r="B17" s="1510" t="s">
        <v>346</v>
      </c>
      <c r="C17" s="1510"/>
      <c r="D17" s="1510"/>
      <c r="E17" s="1510"/>
      <c r="F17" s="1510"/>
      <c r="G17" s="1510"/>
      <c r="H17" s="1510"/>
      <c r="I17" s="1510"/>
      <c r="J17" s="1513" t="str">
        <f>'Bilan complet'!AT49</f>
        <v/>
      </c>
      <c r="K17" s="1513"/>
      <c r="L17" s="1513"/>
      <c r="M17" s="1527" t="e">
        <f>HLOOKUP(Exploitation!B12,Références!D18:N55,6,FALSE)</f>
        <v>#N/A</v>
      </c>
      <c r="N17" s="1528"/>
      <c r="O17" s="1529"/>
    </row>
    <row r="18" spans="2:15" x14ac:dyDescent="0.5">
      <c r="B18" s="1510" t="s">
        <v>347</v>
      </c>
      <c r="C18" s="1510"/>
      <c r="D18" s="1510"/>
      <c r="E18" s="1510"/>
      <c r="F18" s="1510"/>
      <c r="G18" s="1510"/>
      <c r="H18" s="1510"/>
      <c r="I18" s="1510"/>
      <c r="J18" s="1513" t="str">
        <f>'Bilan complet'!AU49</f>
        <v/>
      </c>
      <c r="K18" s="1513"/>
      <c r="L18" s="1513"/>
      <c r="M18" s="1527" t="e">
        <f>HLOOKUP(Exploitation!B12,Références!D18:N55,7,FALSE)</f>
        <v>#N/A</v>
      </c>
      <c r="N18" s="1528"/>
      <c r="O18" s="1529"/>
    </row>
    <row r="19" spans="2:15" x14ac:dyDescent="0.5">
      <c r="B19" s="1510" t="s">
        <v>348</v>
      </c>
      <c r="C19" s="1510"/>
      <c r="D19" s="1510"/>
      <c r="E19" s="1510"/>
      <c r="F19" s="1510"/>
      <c r="G19" s="1510"/>
      <c r="H19" s="1510"/>
      <c r="I19" s="1510"/>
      <c r="J19" s="1513" t="str">
        <f>'Bilan complet'!AV49</f>
        <v/>
      </c>
      <c r="K19" s="1513"/>
      <c r="L19" s="1513"/>
      <c r="M19" s="1527" t="e">
        <f>HLOOKUP(Exploitation!B12,Références!D18:N55,8,FALSE)</f>
        <v>#N/A</v>
      </c>
      <c r="N19" s="1528"/>
      <c r="O19" s="1529"/>
    </row>
    <row r="20" spans="2:15" ht="11.4" customHeight="1" x14ac:dyDescent="0.5">
      <c r="B20" s="77"/>
      <c r="C20" s="77"/>
      <c r="D20" s="77"/>
      <c r="E20" s="77"/>
      <c r="F20" s="77"/>
      <c r="G20" s="77"/>
      <c r="H20" s="77"/>
      <c r="I20" s="77"/>
    </row>
    <row r="21" spans="2:15" x14ac:dyDescent="0.5">
      <c r="B21" s="1510" t="s">
        <v>575</v>
      </c>
      <c r="C21" s="1510"/>
      <c r="D21" s="1510"/>
      <c r="E21" s="1510"/>
      <c r="F21" s="1510"/>
      <c r="G21" s="1510"/>
      <c r="H21" s="1510"/>
      <c r="I21" s="1510"/>
      <c r="J21" s="1514">
        <f>'Bilan complet'!CO11</f>
        <v>0</v>
      </c>
      <c r="K21" s="1514"/>
      <c r="L21" s="1514"/>
      <c r="M21" s="1530" t="e">
        <f>HLOOKUP(Exploitation!B12,Références!D18:N55,9,FALSE)</f>
        <v>#N/A</v>
      </c>
      <c r="N21" s="1531"/>
      <c r="O21" s="1532"/>
    </row>
    <row r="22" spans="2:15" x14ac:dyDescent="0.5">
      <c r="B22" s="1510" t="s">
        <v>582</v>
      </c>
      <c r="C22" s="1510"/>
      <c r="D22" s="1510"/>
      <c r="E22" s="1510"/>
      <c r="F22" s="1510"/>
      <c r="G22" s="1510"/>
      <c r="H22" s="1510"/>
      <c r="I22" s="1510"/>
      <c r="J22" s="1514">
        <f>'Bilan complet'!CO17+'Bilan complet'!CO20</f>
        <v>0</v>
      </c>
      <c r="K22" s="1514"/>
      <c r="L22" s="1514"/>
      <c r="M22" s="1530" t="e">
        <f>HLOOKUP(Exploitation!B12,Références!D18:N55,11,FALSE)</f>
        <v>#N/A</v>
      </c>
      <c r="N22" s="1531"/>
      <c r="O22" s="1532"/>
    </row>
    <row r="23" spans="2:15" ht="12" customHeight="1" x14ac:dyDescent="0.5">
      <c r="B23" s="77"/>
      <c r="C23" s="77"/>
      <c r="D23" s="77"/>
      <c r="E23" s="77"/>
      <c r="F23" s="77"/>
      <c r="G23" s="77"/>
      <c r="H23" s="77"/>
      <c r="I23" s="77"/>
    </row>
    <row r="24" spans="2:15" x14ac:dyDescent="0.5">
      <c r="B24" s="1510" t="s">
        <v>633</v>
      </c>
      <c r="C24" s="1510"/>
      <c r="D24" s="1510"/>
      <c r="E24" s="1510"/>
      <c r="F24" s="1510"/>
      <c r="G24" s="1510"/>
      <c r="H24" s="1510"/>
      <c r="I24" s="1510"/>
      <c r="J24" s="1533" t="e">
        <f>'Bilan complet'!BD43</f>
        <v>#DIV/0!</v>
      </c>
      <c r="K24" s="1533"/>
      <c r="L24" s="1533"/>
      <c r="M24" s="1534" t="e">
        <f>HLOOKUP(Exploitation!B12,Références!D18:N55,13,FALSE)</f>
        <v>#N/A</v>
      </c>
      <c r="N24" s="1535"/>
      <c r="O24" s="1536"/>
    </row>
    <row r="25" spans="2:15" x14ac:dyDescent="0.5">
      <c r="B25" s="1510" t="s">
        <v>680</v>
      </c>
      <c r="C25" s="1510"/>
      <c r="D25" s="1510"/>
      <c r="E25" s="1510"/>
      <c r="F25" s="1510"/>
      <c r="G25" s="1510"/>
      <c r="H25" s="1510"/>
      <c r="I25" s="1510"/>
      <c r="J25" s="1537">
        <f>'Bilan complet'!HC23</f>
        <v>0</v>
      </c>
      <c r="K25" s="1537"/>
      <c r="L25" s="1537"/>
      <c r="M25" s="1523" t="e">
        <f>HLOOKUP(Exploitation!B12,Références!D18:N55,14,FALSE)</f>
        <v>#N/A</v>
      </c>
      <c r="N25" s="1538"/>
      <c r="O25" s="1539"/>
    </row>
    <row r="26" spans="2:15" x14ac:dyDescent="0.5">
      <c r="B26" s="1510" t="s">
        <v>681</v>
      </c>
      <c r="C26" s="1510"/>
      <c r="D26" s="1510"/>
      <c r="E26" s="1510"/>
      <c r="F26" s="1510"/>
      <c r="G26" s="1510"/>
      <c r="H26" s="1510"/>
      <c r="I26" s="1510"/>
      <c r="J26" s="1513" t="str">
        <f>'Bilan complet'!HC24</f>
        <v/>
      </c>
      <c r="K26" s="1513"/>
      <c r="L26" s="1513"/>
      <c r="M26" s="1540" t="e">
        <f>HLOOKUP(Exploitation!B12,Références!D18:N55,15,FALSE)</f>
        <v>#N/A</v>
      </c>
      <c r="N26" s="1541"/>
      <c r="O26" s="1542"/>
    </row>
    <row r="27" spans="2:15" ht="12" customHeight="1" x14ac:dyDescent="0.5">
      <c r="B27" s="77"/>
      <c r="C27" s="77"/>
      <c r="D27" s="77"/>
      <c r="E27" s="77"/>
      <c r="F27" s="77"/>
      <c r="G27" s="77"/>
      <c r="H27" s="77"/>
      <c r="I27" s="77"/>
    </row>
    <row r="28" spans="2:15" x14ac:dyDescent="0.5">
      <c r="B28" s="1510" t="s">
        <v>682</v>
      </c>
      <c r="C28" s="1510"/>
      <c r="D28" s="1510"/>
      <c r="E28" s="1510"/>
      <c r="F28" s="1510"/>
      <c r="G28" s="1510"/>
      <c r="H28" s="1510"/>
      <c r="I28" s="1510"/>
      <c r="J28" s="1543">
        <f>'Bilan complet'!EC6</f>
        <v>0</v>
      </c>
      <c r="K28" s="1543"/>
      <c r="L28" s="1543"/>
      <c r="M28" s="1534" t="e">
        <f>HLOOKUP(Exploitation!B12,Références!D18:N55,22,FALSE)</f>
        <v>#N/A</v>
      </c>
      <c r="N28" s="1535"/>
      <c r="O28" s="1536"/>
    </row>
    <row r="29" spans="2:15" x14ac:dyDescent="0.5">
      <c r="B29" s="1510" t="s">
        <v>665</v>
      </c>
      <c r="C29" s="1510"/>
      <c r="D29" s="1510"/>
      <c r="E29" s="1510"/>
      <c r="F29" s="1510"/>
      <c r="G29" s="1510"/>
      <c r="H29" s="1510"/>
      <c r="I29" s="1510"/>
      <c r="J29" s="1543">
        <f>'Bilan complet'!EC20</f>
        <v>0</v>
      </c>
      <c r="K29" s="1543"/>
      <c r="L29" s="1543"/>
      <c r="M29" s="1534" t="e">
        <f>HLOOKUP(Exploitation!B12,Références!D18:N55,23,FALSE)</f>
        <v>#N/A</v>
      </c>
      <c r="N29" s="1535"/>
      <c r="O29" s="1536"/>
    </row>
    <row r="30" spans="2:15" x14ac:dyDescent="0.5">
      <c r="B30" s="1510" t="s">
        <v>683</v>
      </c>
      <c r="C30" s="1510"/>
      <c r="D30" s="1510"/>
      <c r="E30" s="1510"/>
      <c r="F30" s="1510"/>
      <c r="G30" s="1510"/>
      <c r="H30" s="1510"/>
      <c r="I30" s="1510"/>
      <c r="J30" s="1543">
        <f>'Bilan complet'!EC40</f>
        <v>0</v>
      </c>
      <c r="K30" s="1543"/>
      <c r="L30" s="1543"/>
      <c r="M30" s="1534" t="e">
        <f>HLOOKUP(Exploitation!B12,Références!D18:N55,24,FALSE)</f>
        <v>#N/A</v>
      </c>
      <c r="N30" s="1535"/>
      <c r="O30" s="1536"/>
    </row>
    <row r="31" spans="2:15" ht="12" customHeight="1" x14ac:dyDescent="0.5">
      <c r="B31" s="77"/>
      <c r="C31" s="77"/>
      <c r="D31" s="77"/>
      <c r="E31" s="77"/>
      <c r="F31" s="77"/>
      <c r="G31" s="77"/>
      <c r="H31" s="77"/>
      <c r="I31" s="77"/>
      <c r="J31" s="389"/>
      <c r="K31" s="389"/>
      <c r="L31" s="389"/>
      <c r="M31" s="388"/>
      <c r="N31" s="388"/>
      <c r="O31" s="388"/>
    </row>
    <row r="32" spans="2:15" x14ac:dyDescent="0.5">
      <c r="B32" s="1510" t="s">
        <v>389</v>
      </c>
      <c r="C32" s="1510"/>
      <c r="D32" s="1510"/>
      <c r="E32" s="1510"/>
      <c r="F32" s="1510"/>
      <c r="G32" s="1510"/>
      <c r="H32" s="1510"/>
      <c r="I32" s="1510"/>
      <c r="J32" s="1543">
        <f>'Bilan complet'!FQ4</f>
        <v>0</v>
      </c>
      <c r="K32" s="1543"/>
      <c r="L32" s="1543"/>
      <c r="M32" s="1534" t="e">
        <f>HLOOKUP(Exploitation!#REF!,Références!D18:N55,20,FALSE)</f>
        <v>#REF!</v>
      </c>
      <c r="N32" s="1535"/>
      <c r="O32" s="1536"/>
    </row>
    <row r="33" spans="2:15" x14ac:dyDescent="0.5">
      <c r="B33" s="1510" t="s">
        <v>684</v>
      </c>
      <c r="C33" s="1510"/>
      <c r="D33" s="1510"/>
      <c r="E33" s="1510"/>
      <c r="F33" s="1510"/>
      <c r="G33" s="1510"/>
      <c r="H33" s="1510"/>
      <c r="I33" s="1510"/>
      <c r="J33" s="1543">
        <f>'Bilan complet'!FQ9</f>
        <v>0</v>
      </c>
      <c r="K33" s="1543"/>
      <c r="L33" s="1543"/>
      <c r="M33" s="1534" t="e">
        <f>HLOOKUP(Exploitation!B12,Références!D18:N55,27,FALSE)</f>
        <v>#N/A</v>
      </c>
      <c r="N33" s="1535"/>
      <c r="O33" s="1536"/>
    </row>
    <row r="34" spans="2:15" ht="12" customHeight="1" x14ac:dyDescent="0.5">
      <c r="B34" s="1510" t="s">
        <v>391</v>
      </c>
      <c r="C34" s="1510"/>
      <c r="D34" s="1510"/>
      <c r="E34" s="1510"/>
      <c r="F34" s="1510"/>
      <c r="G34" s="1510"/>
      <c r="H34" s="1510"/>
      <c r="I34" s="1510"/>
      <c r="J34" s="1543">
        <f>'Bilan complet'!FQ14</f>
        <v>0</v>
      </c>
      <c r="K34" s="1543"/>
      <c r="L34" s="1543"/>
      <c r="M34" s="1534" t="e">
        <f>HLOOKUP(Exploitation!B12,Références!D18:N55,28,FALSE)</f>
        <v>#N/A</v>
      </c>
      <c r="N34" s="1535"/>
      <c r="O34" s="1536"/>
    </row>
    <row r="35" spans="2:15" x14ac:dyDescent="0.5">
      <c r="B35" s="77"/>
      <c r="C35" s="77"/>
      <c r="D35" s="77"/>
      <c r="E35" s="77"/>
      <c r="F35" s="77"/>
      <c r="G35" s="77"/>
      <c r="H35" s="77"/>
      <c r="I35" s="77"/>
      <c r="J35" s="389"/>
      <c r="K35" s="389"/>
      <c r="L35" s="389"/>
      <c r="M35" s="388"/>
      <c r="N35" s="388"/>
      <c r="O35" s="388"/>
    </row>
    <row r="36" spans="2:15" x14ac:dyDescent="0.5">
      <c r="B36" s="1510" t="s">
        <v>685</v>
      </c>
      <c r="C36" s="1510"/>
      <c r="D36" s="1510"/>
      <c r="E36" s="1510"/>
      <c r="F36" s="1510"/>
      <c r="G36" s="1510"/>
      <c r="H36" s="1510"/>
      <c r="I36" s="1510"/>
      <c r="J36" s="1543">
        <f>'Bilan complet'!FQ24</f>
        <v>0</v>
      </c>
      <c r="K36" s="1543"/>
      <c r="L36" s="1543"/>
      <c r="M36" s="1534" t="e">
        <f>HLOOKUP(Exploitation!B12,Références!D18:N55,29,FALSE)</f>
        <v>#N/A</v>
      </c>
      <c r="N36" s="1535"/>
      <c r="O36" s="1536"/>
    </row>
    <row r="37" spans="2:15" x14ac:dyDescent="0.5">
      <c r="B37" s="1510" t="s">
        <v>664</v>
      </c>
      <c r="C37" s="1510"/>
      <c r="D37" s="1510"/>
      <c r="E37" s="1510"/>
      <c r="F37" s="1510"/>
      <c r="G37" s="1510"/>
      <c r="H37" s="1510"/>
      <c r="I37" s="1510"/>
      <c r="J37" s="1543">
        <f>'Bilan complet'!FU42</f>
        <v>0</v>
      </c>
      <c r="K37" s="1543"/>
      <c r="L37" s="1543"/>
      <c r="M37" s="1534" t="e">
        <f>HLOOKUP(Exploitation!B12,Références!D18:N55,30,FALSE)</f>
        <v>#N/A</v>
      </c>
      <c r="N37" s="1535"/>
      <c r="O37" s="1536"/>
    </row>
    <row r="38" spans="2:15" ht="12" customHeight="1" x14ac:dyDescent="0.5">
      <c r="B38" s="1510" t="s">
        <v>637</v>
      </c>
      <c r="C38" s="1510"/>
      <c r="D38" s="1510"/>
      <c r="E38" s="1510"/>
      <c r="F38" s="1510"/>
      <c r="G38" s="1510"/>
      <c r="H38" s="1510"/>
      <c r="I38" s="1510"/>
      <c r="J38" s="1543">
        <f>'Bilan complet'!FN36</f>
        <v>0</v>
      </c>
      <c r="K38" s="1543"/>
      <c r="L38" s="1543"/>
      <c r="M38" s="1534" t="e">
        <f>HLOOKUP(Exploitation!B12,Références!D18:N55,31,FALSE)</f>
        <v>#N/A</v>
      </c>
      <c r="N38" s="1535"/>
      <c r="O38" s="1536"/>
    </row>
    <row r="39" spans="2:15" x14ac:dyDescent="0.5">
      <c r="B39" s="77"/>
      <c r="C39" s="77"/>
      <c r="D39" s="77"/>
      <c r="E39" s="77"/>
      <c r="F39" s="77"/>
      <c r="G39" s="77"/>
      <c r="H39" s="77"/>
      <c r="I39" s="77"/>
      <c r="J39" s="389"/>
      <c r="K39" s="389"/>
      <c r="L39" s="389"/>
      <c r="M39" s="388"/>
      <c r="N39" s="388"/>
      <c r="O39" s="388"/>
    </row>
    <row r="40" spans="2:15" ht="12" customHeight="1" x14ac:dyDescent="0.5">
      <c r="B40" s="1510" t="s">
        <v>305</v>
      </c>
      <c r="C40" s="1510"/>
      <c r="D40" s="1510"/>
      <c r="E40" s="1510"/>
      <c r="F40" s="1510"/>
      <c r="G40" s="1510"/>
      <c r="H40" s="1510"/>
      <c r="I40" s="1510"/>
      <c r="J40" s="1543">
        <f>'Bilan complet'!FI50</f>
        <v>0</v>
      </c>
      <c r="K40" s="1543"/>
      <c r="L40" s="1543"/>
      <c r="M40" s="1534" t="e">
        <f>HLOOKUP(Exploitation!B12,Références!D18:N55,32,FALSE)</f>
        <v>#N/A</v>
      </c>
      <c r="N40" s="1535"/>
      <c r="O40" s="1536"/>
    </row>
    <row r="41" spans="2:15" x14ac:dyDescent="0.5">
      <c r="B41" s="77"/>
      <c r="C41" s="77"/>
      <c r="D41" s="77"/>
      <c r="E41" s="77"/>
      <c r="F41" s="77"/>
      <c r="G41" s="77"/>
      <c r="H41" s="77"/>
      <c r="I41" s="77"/>
      <c r="J41" s="389"/>
      <c r="K41" s="389"/>
      <c r="L41" s="389"/>
      <c r="M41" s="388"/>
      <c r="N41" s="388"/>
      <c r="O41" s="388"/>
    </row>
    <row r="42" spans="2:15" x14ac:dyDescent="0.5">
      <c r="B42" s="1510" t="s">
        <v>686</v>
      </c>
      <c r="C42" s="1510"/>
      <c r="D42" s="1510"/>
      <c r="E42" s="1510"/>
      <c r="F42" s="1510"/>
      <c r="G42" s="1510"/>
      <c r="H42" s="1510"/>
      <c r="I42" s="1510"/>
      <c r="J42" s="1543">
        <f>'Bilan complet'!FQ30</f>
        <v>0</v>
      </c>
      <c r="K42" s="1543"/>
      <c r="L42" s="1543"/>
      <c r="M42" s="1534" t="e">
        <f>HLOOKUP(Exploitation!B12,Références!D18:N55,33,FALSE)</f>
        <v>#N/A</v>
      </c>
      <c r="N42" s="1535"/>
      <c r="O42" s="1536"/>
    </row>
    <row r="43" spans="2:15" x14ac:dyDescent="0.5">
      <c r="B43" s="1510" t="s">
        <v>407</v>
      </c>
      <c r="C43" s="1510"/>
      <c r="D43" s="1510"/>
      <c r="E43" s="1510"/>
      <c r="F43" s="1510"/>
      <c r="G43" s="1510"/>
      <c r="H43" s="1510"/>
      <c r="I43" s="1510"/>
      <c r="J43" s="1543">
        <f>'Bilan complet'!FU47</f>
        <v>0</v>
      </c>
      <c r="K43" s="1543"/>
      <c r="L43" s="1543"/>
      <c r="M43" s="1534" t="e">
        <f>HLOOKUP(Exploitation!B12,Références!D18:N55,34,FALSE)</f>
        <v>#N/A</v>
      </c>
      <c r="N43" s="1535"/>
      <c r="O43" s="1536"/>
    </row>
    <row r="44" spans="2:15" ht="12" customHeight="1" x14ac:dyDescent="0.5">
      <c r="B44" s="1510" t="s">
        <v>687</v>
      </c>
      <c r="C44" s="1510"/>
      <c r="D44" s="1510"/>
      <c r="E44" s="1510"/>
      <c r="F44" s="1510"/>
      <c r="G44" s="1510"/>
      <c r="H44" s="1510"/>
      <c r="I44" s="1510"/>
      <c r="J44" s="1543" t="e">
        <f>'Bilan complet'!FN41</f>
        <v>#DIV/0!</v>
      </c>
      <c r="K44" s="1543"/>
      <c r="L44" s="1543"/>
      <c r="M44" s="1534" t="e">
        <f>HLOOKUP(Exploitation!B12,Références!D18:N55,35,FALSE)</f>
        <v>#N/A</v>
      </c>
      <c r="N44" s="1535"/>
      <c r="O44" s="1536"/>
    </row>
    <row r="45" spans="2:15" x14ac:dyDescent="0.5">
      <c r="B45" s="77"/>
      <c r="C45" s="77"/>
      <c r="D45" s="77"/>
      <c r="E45" s="77"/>
      <c r="F45" s="77"/>
      <c r="G45" s="77"/>
      <c r="H45" s="77"/>
      <c r="I45" s="77"/>
    </row>
    <row r="46" spans="2:15" x14ac:dyDescent="0.5">
      <c r="B46" s="1510" t="s">
        <v>409</v>
      </c>
      <c r="C46" s="1510"/>
      <c r="D46" s="1510"/>
      <c r="E46" s="1510"/>
      <c r="F46" s="1510"/>
      <c r="G46" s="1510"/>
      <c r="H46" s="1510"/>
      <c r="I46" s="1510"/>
      <c r="J46" s="1544" t="str">
        <f>'Bilan complet'!FY18</f>
        <v/>
      </c>
      <c r="K46" s="1512"/>
      <c r="L46" s="1512"/>
      <c r="M46" s="1540" t="e">
        <f>HLOOKUP(Exploitation!B12,Références!D18:N55,36,FALSE)</f>
        <v>#N/A</v>
      </c>
      <c r="N46" s="1541"/>
      <c r="O46" s="1542"/>
    </row>
    <row r="47" spans="2:15" x14ac:dyDescent="0.5">
      <c r="B47" s="1510" t="s">
        <v>688</v>
      </c>
      <c r="C47" s="1510"/>
      <c r="D47" s="1510"/>
      <c r="E47" s="1510"/>
      <c r="F47" s="1510"/>
      <c r="G47" s="1510"/>
      <c r="H47" s="1510"/>
      <c r="I47" s="1510"/>
      <c r="J47" s="1544" t="str">
        <f>'Bilan complet'!FY21</f>
        <v/>
      </c>
      <c r="K47" s="1512"/>
      <c r="L47" s="1512"/>
      <c r="M47" s="1540" t="e">
        <f>HLOOKUP(Exploitation!B12,Références!D18:N55,37,FALSE)</f>
        <v>#N/A</v>
      </c>
      <c r="N47" s="1541"/>
      <c r="O47" s="1542"/>
    </row>
    <row r="48" spans="2:15" x14ac:dyDescent="0.5">
      <c r="B48" s="1510" t="s">
        <v>411</v>
      </c>
      <c r="C48" s="1510"/>
      <c r="D48" s="1510"/>
      <c r="E48" s="1510"/>
      <c r="F48" s="1510"/>
      <c r="G48" s="1510"/>
      <c r="H48" s="1510"/>
      <c r="I48" s="1510"/>
      <c r="J48" s="1544" t="str">
        <f>'Bilan complet'!FY24</f>
        <v/>
      </c>
      <c r="K48" s="1512"/>
      <c r="L48" s="1512"/>
      <c r="M48" s="1540" t="e">
        <f>HLOOKUP(Exploitation!B12,Références!D18:N55,38,FALSE)</f>
        <v>#N/A</v>
      </c>
      <c r="N48" s="1541"/>
      <c r="O48" s="1542"/>
    </row>
  </sheetData>
  <mergeCells count="95">
    <mergeCell ref="B32:I32"/>
    <mergeCell ref="J32:L32"/>
    <mergeCell ref="M32:O32"/>
    <mergeCell ref="J37:L37"/>
    <mergeCell ref="M37:O37"/>
    <mergeCell ref="M36:O36"/>
    <mergeCell ref="J33:L33"/>
    <mergeCell ref="M33:O33"/>
    <mergeCell ref="J34:L34"/>
    <mergeCell ref="M34:O34"/>
    <mergeCell ref="J36:L36"/>
    <mergeCell ref="J38:L38"/>
    <mergeCell ref="M38:O38"/>
    <mergeCell ref="J40:L40"/>
    <mergeCell ref="M40:O40"/>
    <mergeCell ref="J47:L47"/>
    <mergeCell ref="M47:O47"/>
    <mergeCell ref="J48:L48"/>
    <mergeCell ref="M48:O48"/>
    <mergeCell ref="J42:L42"/>
    <mergeCell ref="M42:O42"/>
    <mergeCell ref="J43:L43"/>
    <mergeCell ref="M43:O43"/>
    <mergeCell ref="J44:L44"/>
    <mergeCell ref="M44:O44"/>
    <mergeCell ref="J46:L46"/>
    <mergeCell ref="M46:O46"/>
    <mergeCell ref="J28:L28"/>
    <mergeCell ref="M28:O28"/>
    <mergeCell ref="J29:L29"/>
    <mergeCell ref="M29:O29"/>
    <mergeCell ref="J30:L30"/>
    <mergeCell ref="M30:O30"/>
    <mergeCell ref="M18:O18"/>
    <mergeCell ref="J19:L19"/>
    <mergeCell ref="M19:O19"/>
    <mergeCell ref="J21:L21"/>
    <mergeCell ref="M21:O21"/>
    <mergeCell ref="M22:O22"/>
    <mergeCell ref="B42:I42"/>
    <mergeCell ref="B43:I43"/>
    <mergeCell ref="B44:I44"/>
    <mergeCell ref="B24:I24"/>
    <mergeCell ref="B25:I25"/>
    <mergeCell ref="B26:I26"/>
    <mergeCell ref="B28:I28"/>
    <mergeCell ref="B29:I29"/>
    <mergeCell ref="B30:I30"/>
    <mergeCell ref="J24:L24"/>
    <mergeCell ref="M24:O24"/>
    <mergeCell ref="J25:L25"/>
    <mergeCell ref="M25:O25"/>
    <mergeCell ref="J26:L26"/>
    <mergeCell ref="M26:O26"/>
    <mergeCell ref="B47:I47"/>
    <mergeCell ref="B48:I48"/>
    <mergeCell ref="B46:I46"/>
    <mergeCell ref="B33:I33"/>
    <mergeCell ref="B34:I34"/>
    <mergeCell ref="B36:I36"/>
    <mergeCell ref="B37:I37"/>
    <mergeCell ref="B38:I38"/>
    <mergeCell ref="B40:I40"/>
    <mergeCell ref="M16:O16"/>
    <mergeCell ref="M17:O17"/>
    <mergeCell ref="B14:I14"/>
    <mergeCell ref="B16:I16"/>
    <mergeCell ref="B17:I17"/>
    <mergeCell ref="J14:L14"/>
    <mergeCell ref="M14:O14"/>
    <mergeCell ref="M13:O13"/>
    <mergeCell ref="J9:L9"/>
    <mergeCell ref="M8:O8"/>
    <mergeCell ref="B12:I12"/>
    <mergeCell ref="B13:I13"/>
    <mergeCell ref="J12:L12"/>
    <mergeCell ref="J13:L13"/>
    <mergeCell ref="M12:O12"/>
    <mergeCell ref="M11:O11"/>
    <mergeCell ref="M9:O9"/>
    <mergeCell ref="B22:I22"/>
    <mergeCell ref="B11:I11"/>
    <mergeCell ref="J11:L11"/>
    <mergeCell ref="B21:I21"/>
    <mergeCell ref="J18:L18"/>
    <mergeCell ref="B19:I19"/>
    <mergeCell ref="J16:L16"/>
    <mergeCell ref="J17:L17"/>
    <mergeCell ref="B18:I18"/>
    <mergeCell ref="J22:L22"/>
    <mergeCell ref="D1:M1"/>
    <mergeCell ref="H5:I5"/>
    <mergeCell ref="E4:G4"/>
    <mergeCell ref="J4:L4"/>
    <mergeCell ref="G3:J3"/>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7244E-A5D6-4EA2-B660-C58CEBBA6056}">
  <sheetPr>
    <tabColor rgb="FFCC0099"/>
  </sheetPr>
  <dimension ref="A1:AB50"/>
  <sheetViews>
    <sheetView showGridLines="0" showRuler="0" view="pageLayout" zoomScale="86" zoomScaleNormal="50" zoomScalePageLayoutView="86" workbookViewId="0">
      <selection activeCell="C1" sqref="C1"/>
    </sheetView>
  </sheetViews>
  <sheetFormatPr baseColWidth="10" defaultColWidth="11" defaultRowHeight="18" x14ac:dyDescent="0.5"/>
  <cols>
    <col min="1" max="1" width="4" customWidth="1"/>
    <col min="2" max="5" width="6.6640625" customWidth="1"/>
    <col min="6" max="7" width="5" customWidth="1"/>
    <col min="8" max="9" width="4.6640625" customWidth="1"/>
    <col min="10" max="13" width="6.6640625" customWidth="1"/>
    <col min="14" max="27" width="5" customWidth="1"/>
    <col min="28" max="37" width="4.6640625" customWidth="1"/>
  </cols>
  <sheetData>
    <row r="1" spans="1:28" ht="21.75" customHeight="1" x14ac:dyDescent="0.5">
      <c r="E1" s="1507" t="s">
        <v>689</v>
      </c>
      <c r="F1" s="1507"/>
      <c r="G1" s="1507"/>
      <c r="H1" s="1507"/>
      <c r="I1" s="1507"/>
      <c r="J1" s="1507"/>
      <c r="K1" s="1507"/>
      <c r="L1" s="1507"/>
      <c r="N1" s="164"/>
      <c r="O1" s="133"/>
      <c r="P1" s="133"/>
      <c r="Q1" s="133"/>
      <c r="U1" s="1507" t="s">
        <v>689</v>
      </c>
      <c r="V1" s="1507"/>
      <c r="W1" s="1507"/>
      <c r="X1" s="1507"/>
      <c r="Y1" s="1507"/>
      <c r="Z1" s="1507"/>
      <c r="AA1" s="1507"/>
      <c r="AB1" s="1507"/>
    </row>
    <row r="2" spans="1:28" ht="9" customHeight="1" x14ac:dyDescent="0.5"/>
    <row r="3" spans="1:28" ht="15" customHeight="1" x14ac:dyDescent="0.5">
      <c r="E3" s="143"/>
      <c r="F3" s="143"/>
      <c r="G3" s="1508">
        <f>Exploitation!B3</f>
        <v>0</v>
      </c>
      <c r="H3" s="1508"/>
      <c r="I3" s="1508"/>
      <c r="J3" s="1508"/>
      <c r="K3" s="143"/>
      <c r="L3" s="143"/>
    </row>
    <row r="4" spans="1:28" ht="14.25" customHeight="1" x14ac:dyDescent="0.5">
      <c r="E4" s="1508">
        <f>Exploitation!B6</f>
        <v>0</v>
      </c>
      <c r="F4" s="1508"/>
      <c r="G4" s="1508"/>
      <c r="H4" s="143"/>
      <c r="I4" s="143"/>
      <c r="J4" s="1508">
        <f>Exploitation!B7</f>
        <v>0</v>
      </c>
      <c r="K4" s="1508"/>
      <c r="L4" s="1508"/>
    </row>
    <row r="5" spans="1:28" x14ac:dyDescent="0.5">
      <c r="E5" s="143"/>
      <c r="F5" s="143"/>
      <c r="G5" s="143"/>
      <c r="H5" s="1508" t="str">
        <f>Exploitation!B2</f>
        <v>2023</v>
      </c>
      <c r="I5" s="1509"/>
      <c r="J5" s="143"/>
      <c r="K5" s="143"/>
      <c r="L5" s="143"/>
    </row>
    <row r="6" spans="1:28" ht="8.25" customHeight="1" x14ac:dyDescent="0.5">
      <c r="B6" s="360"/>
      <c r="C6" s="360"/>
      <c r="D6" s="360"/>
      <c r="E6" s="360"/>
      <c r="F6" s="360"/>
      <c r="G6" s="360"/>
      <c r="J6" s="360"/>
      <c r="K6" s="360"/>
      <c r="L6" s="360"/>
      <c r="M6" s="360"/>
      <c r="N6" s="360"/>
      <c r="O6" s="360"/>
    </row>
    <row r="7" spans="1:28" ht="15" customHeight="1" x14ac:dyDescent="0.5">
      <c r="B7" s="1260" t="s">
        <v>454</v>
      </c>
      <c r="C7" s="1260"/>
      <c r="D7" s="1260"/>
      <c r="E7" s="1260"/>
      <c r="F7" s="1558" t="e">
        <f>F9+F13+F18+F23+F29+F35+F40+F43+F47</f>
        <v>#DIV/0!</v>
      </c>
      <c r="G7" s="1558"/>
      <c r="J7" s="1259" t="s">
        <v>484</v>
      </c>
      <c r="K7" s="1259"/>
      <c r="L7" s="1259"/>
      <c r="M7" s="1259"/>
      <c r="N7" s="1563" t="e">
        <f>SUM(N9:O13)</f>
        <v>#DIV/0!</v>
      </c>
      <c r="O7" s="1563"/>
    </row>
    <row r="8" spans="1:28" ht="15" customHeight="1" x14ac:dyDescent="0.5">
      <c r="B8" s="1562"/>
      <c r="C8" s="1562"/>
      <c r="D8" s="1562"/>
      <c r="E8" s="1562"/>
      <c r="F8" s="1559"/>
      <c r="G8" s="1559"/>
      <c r="J8" s="1562"/>
      <c r="K8" s="1562"/>
      <c r="L8" s="1562"/>
      <c r="M8" s="1562"/>
      <c r="N8" s="1559"/>
      <c r="O8" s="1559"/>
    </row>
    <row r="9" spans="1:28" ht="15" customHeight="1" x14ac:dyDescent="0.5">
      <c r="A9" s="361" t="s">
        <v>8</v>
      </c>
      <c r="B9" s="1003" t="s">
        <v>455</v>
      </c>
      <c r="C9" s="1003"/>
      <c r="D9" s="1003"/>
      <c r="E9" s="1003"/>
      <c r="F9" s="1551" t="e">
        <f>SUM(F11:G12)</f>
        <v>#DIV/0!</v>
      </c>
      <c r="G9" s="1552"/>
      <c r="I9" s="370"/>
      <c r="J9" s="1555" t="s">
        <v>485</v>
      </c>
      <c r="K9" s="1555"/>
      <c r="L9" s="1555"/>
      <c r="M9" s="1555"/>
      <c r="N9" s="1556" t="e">
        <f>Calcule!AY41</f>
        <v>#DIV/0!</v>
      </c>
      <c r="O9" s="1556"/>
    </row>
    <row r="10" spans="1:28" ht="15" customHeight="1" x14ac:dyDescent="0.5">
      <c r="A10" s="361"/>
      <c r="B10" s="1003"/>
      <c r="C10" s="1003"/>
      <c r="D10" s="1003"/>
      <c r="E10" s="1003"/>
      <c r="F10" s="1552"/>
      <c r="G10" s="1552"/>
      <c r="I10" s="370"/>
      <c r="J10" s="1560"/>
      <c r="K10" s="1560"/>
      <c r="L10" s="1560"/>
      <c r="M10" s="1560"/>
      <c r="N10" s="1561"/>
      <c r="O10" s="1561"/>
    </row>
    <row r="11" spans="1:28" ht="15" customHeight="1" x14ac:dyDescent="0.5">
      <c r="B11" s="1545" t="s">
        <v>456</v>
      </c>
      <c r="C11" s="1545"/>
      <c r="D11" s="1545"/>
      <c r="E11" s="1545"/>
      <c r="F11" s="1546" t="e">
        <f>Calcule!AY7</f>
        <v>#DIV/0!</v>
      </c>
      <c r="G11" s="1547"/>
      <c r="I11" s="371"/>
      <c r="J11" s="1555" t="s">
        <v>486</v>
      </c>
      <c r="K11" s="1555"/>
      <c r="L11" s="1555"/>
      <c r="M11" s="1555"/>
      <c r="N11" s="1556" t="e">
        <f>Calcule!AY42</f>
        <v>#DIV/0!</v>
      </c>
      <c r="O11" s="1556"/>
    </row>
    <row r="12" spans="1:28" ht="15" customHeight="1" x14ac:dyDescent="0.5">
      <c r="B12" s="1548" t="s">
        <v>457</v>
      </c>
      <c r="C12" s="1548"/>
      <c r="D12" s="1548"/>
      <c r="E12" s="1548"/>
      <c r="F12" s="1549" t="e">
        <f>Calcule!AY8</f>
        <v>#DIV/0!</v>
      </c>
      <c r="G12" s="1550"/>
      <c r="I12" s="371"/>
      <c r="J12" s="1560"/>
      <c r="K12" s="1560"/>
      <c r="L12" s="1560"/>
      <c r="M12" s="1560"/>
      <c r="N12" s="1561"/>
      <c r="O12" s="1561"/>
    </row>
    <row r="13" spans="1:28" ht="15" customHeight="1" x14ac:dyDescent="0.5">
      <c r="A13" s="362"/>
      <c r="B13" s="1003" t="s">
        <v>458</v>
      </c>
      <c r="C13" s="1003"/>
      <c r="D13" s="1003"/>
      <c r="E13" s="1003"/>
      <c r="F13" s="1551" t="e">
        <f>SUM(F15:G17)</f>
        <v>#DIV/0!</v>
      </c>
      <c r="G13" s="1552"/>
      <c r="I13" s="134"/>
      <c r="J13" s="1555" t="s">
        <v>487</v>
      </c>
      <c r="K13" s="1555"/>
      <c r="L13" s="1555"/>
      <c r="M13" s="1555"/>
      <c r="N13" s="1556" t="e">
        <f>Calcule!AY43</f>
        <v>#DIV/0!</v>
      </c>
      <c r="O13" s="1556"/>
    </row>
    <row r="14" spans="1:28" ht="15" customHeight="1" x14ac:dyDescent="0.5">
      <c r="A14" s="362"/>
      <c r="B14" s="1003"/>
      <c r="C14" s="1003"/>
      <c r="D14" s="1003"/>
      <c r="E14" s="1003"/>
      <c r="F14" s="1552"/>
      <c r="G14" s="1552"/>
      <c r="I14" s="134"/>
      <c r="J14" s="1560"/>
      <c r="K14" s="1560"/>
      <c r="L14" s="1560"/>
      <c r="M14" s="1560"/>
      <c r="N14" s="1561"/>
      <c r="O14" s="1561"/>
    </row>
    <row r="15" spans="1:28" ht="15" customHeight="1" x14ac:dyDescent="0.5">
      <c r="B15" s="1545" t="s">
        <v>459</v>
      </c>
      <c r="C15" s="1545"/>
      <c r="D15" s="1545"/>
      <c r="E15" s="1545"/>
      <c r="F15" s="1546" t="e">
        <f>Calcule!AY10</f>
        <v>#DIV/0!</v>
      </c>
      <c r="G15" s="1547"/>
    </row>
    <row r="16" spans="1:28" ht="15" customHeight="1" x14ac:dyDescent="0.5">
      <c r="B16" s="1545" t="s">
        <v>460</v>
      </c>
      <c r="C16" s="1545"/>
      <c r="D16" s="1545"/>
      <c r="E16" s="1545"/>
      <c r="F16" s="1546" t="e">
        <f>Calcule!AY11</f>
        <v>#DIV/0!</v>
      </c>
      <c r="G16" s="1547"/>
      <c r="J16" s="360"/>
      <c r="K16" s="360"/>
      <c r="L16" s="360"/>
      <c r="M16" s="360"/>
      <c r="N16" s="360"/>
      <c r="O16" s="360"/>
    </row>
    <row r="17" spans="1:15" ht="15" customHeight="1" x14ac:dyDescent="0.5">
      <c r="B17" s="1548" t="s">
        <v>461</v>
      </c>
      <c r="C17" s="1548"/>
      <c r="D17" s="1548"/>
      <c r="E17" s="1548"/>
      <c r="F17" s="1549" t="e">
        <f>Calcule!AY12</f>
        <v>#DIV/0!</v>
      </c>
      <c r="G17" s="1550"/>
      <c r="J17" s="1564" t="s">
        <v>488</v>
      </c>
      <c r="K17" s="1564"/>
      <c r="L17" s="1564"/>
      <c r="M17" s="1564"/>
      <c r="N17" s="1567" t="e">
        <f>Calcule!AX45</f>
        <v>#N/A</v>
      </c>
      <c r="O17" s="1567"/>
    </row>
    <row r="18" spans="1:15" ht="15" customHeight="1" x14ac:dyDescent="0.5">
      <c r="A18" s="363"/>
      <c r="B18" s="1003" t="s">
        <v>462</v>
      </c>
      <c r="C18" s="1003"/>
      <c r="D18" s="1003"/>
      <c r="E18" s="1003"/>
      <c r="F18" s="1551" t="e">
        <f>SUM(F20:G22)</f>
        <v>#DIV/0!</v>
      </c>
      <c r="G18" s="1552"/>
      <c r="J18" s="1565"/>
      <c r="K18" s="1565"/>
      <c r="L18" s="1565"/>
      <c r="M18" s="1565"/>
      <c r="N18" s="1568"/>
      <c r="O18" s="1568"/>
    </row>
    <row r="19" spans="1:15" ht="15" customHeight="1" x14ac:dyDescent="0.5">
      <c r="A19" s="363"/>
      <c r="B19" s="1003"/>
      <c r="C19" s="1003"/>
      <c r="D19" s="1003"/>
      <c r="E19" s="1003"/>
      <c r="F19" s="1552"/>
      <c r="G19" s="1552"/>
      <c r="J19" s="1566"/>
      <c r="K19" s="1566"/>
      <c r="L19" s="1566"/>
      <c r="M19" s="1566"/>
      <c r="N19" s="1569"/>
      <c r="O19" s="1569"/>
    </row>
    <row r="20" spans="1:15" ht="15" customHeight="1" x14ac:dyDescent="0.5">
      <c r="B20" s="1545" t="s">
        <v>690</v>
      </c>
      <c r="C20" s="1545"/>
      <c r="D20" s="1545"/>
      <c r="E20" s="1545"/>
      <c r="F20" s="1546" t="e">
        <f>Calcule!AY15</f>
        <v>#DIV/0!</v>
      </c>
      <c r="G20" s="1547"/>
      <c r="J20" s="1570" t="s">
        <v>491</v>
      </c>
      <c r="K20" s="1570"/>
      <c r="L20" s="1570"/>
      <c r="M20" s="1570"/>
      <c r="N20" s="1573" t="e">
        <f>Calcule!AX46</f>
        <v>#DIV/0!</v>
      </c>
      <c r="O20" s="1573"/>
    </row>
    <row r="21" spans="1:15" ht="15" customHeight="1" x14ac:dyDescent="0.5">
      <c r="B21" s="1545" t="s">
        <v>463</v>
      </c>
      <c r="C21" s="1545"/>
      <c r="D21" s="1545"/>
      <c r="E21" s="1545"/>
      <c r="F21" s="1546" t="e">
        <f>Calcule!AY14</f>
        <v>#DIV/0!</v>
      </c>
      <c r="G21" s="1547"/>
      <c r="J21" s="1571"/>
      <c r="K21" s="1571"/>
      <c r="L21" s="1571"/>
      <c r="M21" s="1571"/>
      <c r="N21" s="1574"/>
      <c r="O21" s="1574"/>
    </row>
    <row r="22" spans="1:15" ht="15" customHeight="1" x14ac:dyDescent="0.5">
      <c r="B22" s="1545" t="s">
        <v>464</v>
      </c>
      <c r="C22" s="1545"/>
      <c r="D22" s="1545"/>
      <c r="E22" s="1545"/>
      <c r="F22" s="1546" t="e">
        <f>Calcule!AY16</f>
        <v>#DIV/0!</v>
      </c>
      <c r="G22" s="1547"/>
      <c r="J22" s="1572"/>
      <c r="K22" s="1572"/>
      <c r="L22" s="1572"/>
      <c r="M22" s="1572"/>
      <c r="N22" s="1575"/>
      <c r="O22" s="1575"/>
    </row>
    <row r="23" spans="1:15" ht="15" customHeight="1" x14ac:dyDescent="0.5">
      <c r="A23" s="364"/>
      <c r="B23" s="1555" t="s">
        <v>465</v>
      </c>
      <c r="C23" s="1555"/>
      <c r="D23" s="1555"/>
      <c r="E23" s="1555"/>
      <c r="F23" s="1556" t="e">
        <f>SUM(F25:G28)</f>
        <v>#N/A</v>
      </c>
      <c r="G23" s="1557"/>
      <c r="J23" s="1570" t="s">
        <v>492</v>
      </c>
      <c r="K23" s="1570"/>
      <c r="L23" s="1570"/>
      <c r="M23" s="1570"/>
      <c r="N23" s="1576" t="e">
        <f>Calcule!AX47</f>
        <v>#DIV/0!</v>
      </c>
      <c r="O23" s="1576"/>
    </row>
    <row r="24" spans="1:15" ht="15" customHeight="1" x14ac:dyDescent="0.5">
      <c r="A24" s="364"/>
      <c r="B24" s="1003"/>
      <c r="C24" s="1003"/>
      <c r="D24" s="1003"/>
      <c r="E24" s="1003"/>
      <c r="F24" s="1552"/>
      <c r="G24" s="1552"/>
      <c r="J24" s="1571"/>
      <c r="K24" s="1571"/>
      <c r="L24" s="1571"/>
      <c r="M24" s="1571"/>
      <c r="N24" s="1577"/>
      <c r="O24" s="1577"/>
    </row>
    <row r="25" spans="1:15" ht="15" customHeight="1" x14ac:dyDescent="0.5">
      <c r="B25" s="1545" t="s">
        <v>466</v>
      </c>
      <c r="C25" s="1545"/>
      <c r="D25" s="1545"/>
      <c r="E25" s="1545"/>
      <c r="F25" s="1546" t="e">
        <f>Calcule!AY18</f>
        <v>#N/A</v>
      </c>
      <c r="G25" s="1547"/>
      <c r="J25" s="1572"/>
      <c r="K25" s="1572"/>
      <c r="L25" s="1572"/>
      <c r="M25" s="1572"/>
      <c r="N25" s="1578"/>
      <c r="O25" s="1578"/>
    </row>
    <row r="26" spans="1:15" ht="15" customHeight="1" x14ac:dyDescent="0.5">
      <c r="B26" s="1545" t="s">
        <v>467</v>
      </c>
      <c r="C26" s="1545"/>
      <c r="D26" s="1545"/>
      <c r="E26" s="1545"/>
      <c r="F26" s="1546" t="e">
        <f>Calcule!AY19</f>
        <v>#N/A</v>
      </c>
      <c r="G26" s="1547"/>
    </row>
    <row r="27" spans="1:15" ht="15" customHeight="1" x14ac:dyDescent="0.5">
      <c r="B27" s="1545" t="s">
        <v>468</v>
      </c>
      <c r="C27" s="1545"/>
      <c r="D27" s="1545"/>
      <c r="E27" s="1545"/>
      <c r="F27" s="1546" t="e">
        <f>Calcule!AY20</f>
        <v>#DIV/0!</v>
      </c>
      <c r="G27" s="1547"/>
    </row>
    <row r="28" spans="1:15" ht="15" customHeight="1" x14ac:dyDescent="0.5">
      <c r="B28" s="1548" t="s">
        <v>397</v>
      </c>
      <c r="C28" s="1548"/>
      <c r="D28" s="1548"/>
      <c r="E28" s="1548"/>
      <c r="F28" s="1549" t="e">
        <f>Calcule!AY37</f>
        <v>#N/A</v>
      </c>
      <c r="G28" s="1550"/>
    </row>
    <row r="29" spans="1:15" ht="15" customHeight="1" x14ac:dyDescent="0.5">
      <c r="A29" s="365"/>
      <c r="B29" s="1003" t="s">
        <v>469</v>
      </c>
      <c r="C29" s="1003"/>
      <c r="D29" s="1003"/>
      <c r="E29" s="1003"/>
      <c r="F29" s="1551" t="e">
        <f>SUM(F31:G34)</f>
        <v>#N/A</v>
      </c>
      <c r="G29" s="1552"/>
    </row>
    <row r="30" spans="1:15" ht="15" customHeight="1" x14ac:dyDescent="0.5">
      <c r="A30" s="365"/>
      <c r="B30" s="1003"/>
      <c r="C30" s="1003"/>
      <c r="D30" s="1003"/>
      <c r="E30" s="1003"/>
      <c r="F30" s="1552"/>
      <c r="G30" s="1552"/>
    </row>
    <row r="31" spans="1:15" ht="15" customHeight="1" x14ac:dyDescent="0.5">
      <c r="B31" s="1545" t="s">
        <v>470</v>
      </c>
      <c r="C31" s="1545"/>
      <c r="D31" s="1545"/>
      <c r="E31" s="1545"/>
      <c r="F31" s="1546" t="e">
        <f>Calcule!AY22</f>
        <v>#N/A</v>
      </c>
      <c r="G31" s="1547"/>
    </row>
    <row r="32" spans="1:15" ht="15" customHeight="1" x14ac:dyDescent="0.5">
      <c r="B32" s="1545" t="s">
        <v>471</v>
      </c>
      <c r="C32" s="1545"/>
      <c r="D32" s="1545"/>
      <c r="E32" s="1545"/>
      <c r="F32" s="1546" t="e">
        <f>Calcule!AY23</f>
        <v>#N/A</v>
      </c>
      <c r="G32" s="1547"/>
    </row>
    <row r="33" spans="1:7" ht="15" customHeight="1" x14ac:dyDescent="0.5">
      <c r="B33" s="1545" t="s">
        <v>472</v>
      </c>
      <c r="C33" s="1545"/>
      <c r="D33" s="1545"/>
      <c r="E33" s="1545"/>
      <c r="F33" s="1546" t="e">
        <f>Calcule!AY24</f>
        <v>#N/A</v>
      </c>
      <c r="G33" s="1547"/>
    </row>
    <row r="34" spans="1:7" ht="15" customHeight="1" x14ac:dyDescent="0.5">
      <c r="B34" s="1548" t="s">
        <v>473</v>
      </c>
      <c r="C34" s="1548"/>
      <c r="D34" s="1548"/>
      <c r="E34" s="1548"/>
      <c r="F34" s="1549" t="e">
        <f>Calcule!AY38</f>
        <v>#N/A</v>
      </c>
      <c r="G34" s="1550"/>
    </row>
    <row r="35" spans="1:7" ht="15" customHeight="1" x14ac:dyDescent="0.5">
      <c r="A35" s="366"/>
      <c r="B35" s="1003" t="s">
        <v>474</v>
      </c>
      <c r="C35" s="1003"/>
      <c r="D35" s="1003"/>
      <c r="E35" s="1003"/>
      <c r="F35" s="1551" t="e">
        <f>SUM(F37:G39)</f>
        <v>#DIV/0!</v>
      </c>
      <c r="G35" s="1552"/>
    </row>
    <row r="36" spans="1:7" ht="15" customHeight="1" x14ac:dyDescent="0.5">
      <c r="A36" s="366"/>
      <c r="B36" s="1003"/>
      <c r="C36" s="1003"/>
      <c r="D36" s="1003"/>
      <c r="E36" s="1003"/>
      <c r="F36" s="1552"/>
      <c r="G36" s="1552"/>
    </row>
    <row r="37" spans="1:7" ht="15" customHeight="1" x14ac:dyDescent="0.5">
      <c r="B37" s="1545" t="s">
        <v>278</v>
      </c>
      <c r="C37" s="1545"/>
      <c r="D37" s="1545"/>
      <c r="E37" s="1545"/>
      <c r="F37" s="1546" t="e">
        <f>Calcule!AY33</f>
        <v>#DIV/0!</v>
      </c>
      <c r="G37" s="1547"/>
    </row>
    <row r="38" spans="1:7" ht="15" customHeight="1" x14ac:dyDescent="0.5">
      <c r="B38" s="1545" t="s">
        <v>475</v>
      </c>
      <c r="C38" s="1545"/>
      <c r="D38" s="1545"/>
      <c r="E38" s="1545"/>
      <c r="F38" s="1546" t="e">
        <f>Calcule!AY34</f>
        <v>#DIV/0!</v>
      </c>
      <c r="G38" s="1547"/>
    </row>
    <row r="39" spans="1:7" ht="15" customHeight="1" x14ac:dyDescent="0.5">
      <c r="B39" s="1548" t="s">
        <v>281</v>
      </c>
      <c r="C39" s="1548"/>
      <c r="D39" s="1548"/>
      <c r="E39" s="1548"/>
      <c r="F39" s="1549" t="e">
        <f>Calcule!AY35</f>
        <v>#DIV/0!</v>
      </c>
      <c r="G39" s="1550"/>
    </row>
    <row r="40" spans="1:7" ht="15" customHeight="1" x14ac:dyDescent="0.5">
      <c r="A40" s="367"/>
      <c r="B40" s="1003" t="s">
        <v>476</v>
      </c>
      <c r="C40" s="1003"/>
      <c r="D40" s="1003"/>
      <c r="E40" s="1003"/>
      <c r="F40" s="1551" t="e">
        <f>F42</f>
        <v>#N/A</v>
      </c>
      <c r="G40" s="1551"/>
    </row>
    <row r="41" spans="1:7" ht="15" customHeight="1" x14ac:dyDescent="0.5">
      <c r="A41" s="367"/>
      <c r="B41" s="1003"/>
      <c r="C41" s="1003"/>
      <c r="D41" s="1003"/>
      <c r="E41" s="1003"/>
      <c r="F41" s="1551"/>
      <c r="G41" s="1551"/>
    </row>
    <row r="42" spans="1:7" ht="15" customHeight="1" x14ac:dyDescent="0.5">
      <c r="B42" s="1554" t="s">
        <v>477</v>
      </c>
      <c r="C42" s="1554"/>
      <c r="D42" s="1554"/>
      <c r="E42" s="1554"/>
      <c r="F42" s="1549" t="e">
        <f>Calcule!AY26</f>
        <v>#N/A</v>
      </c>
      <c r="G42" s="1550"/>
    </row>
    <row r="43" spans="1:7" ht="15" customHeight="1" x14ac:dyDescent="0.5">
      <c r="A43" s="368"/>
      <c r="B43" s="1003" t="s">
        <v>478</v>
      </c>
      <c r="C43" s="1003"/>
      <c r="D43" s="1003"/>
      <c r="E43" s="1003"/>
      <c r="F43" s="1551" t="e">
        <f>SUM(F45:G46)</f>
        <v>#N/A</v>
      </c>
      <c r="G43" s="1552"/>
    </row>
    <row r="44" spans="1:7" ht="15" customHeight="1" x14ac:dyDescent="0.5">
      <c r="A44" s="368"/>
      <c r="B44" s="1003"/>
      <c r="C44" s="1003"/>
      <c r="D44" s="1003"/>
      <c r="E44" s="1003"/>
      <c r="F44" s="1552"/>
      <c r="G44" s="1552"/>
    </row>
    <row r="45" spans="1:7" ht="15" customHeight="1" x14ac:dyDescent="0.5">
      <c r="B45" s="1545" t="s">
        <v>479</v>
      </c>
      <c r="C45" s="1545"/>
      <c r="D45" s="1545"/>
      <c r="E45" s="1545"/>
      <c r="F45" s="1546" t="e">
        <f>Calcule!AY28</f>
        <v>#N/A</v>
      </c>
      <c r="G45" s="1547"/>
    </row>
    <row r="46" spans="1:7" ht="15" customHeight="1" x14ac:dyDescent="0.5">
      <c r="B46" s="1548" t="s">
        <v>480</v>
      </c>
      <c r="C46" s="1548"/>
      <c r="D46" s="1548"/>
      <c r="E46" s="1548"/>
      <c r="F46" s="1549" t="e">
        <f>Calcule!AY29</f>
        <v>#N/A</v>
      </c>
      <c r="G46" s="1550"/>
    </row>
    <row r="47" spans="1:7" ht="15" customHeight="1" x14ac:dyDescent="0.5">
      <c r="A47" s="369"/>
      <c r="B47" s="1003" t="s">
        <v>481</v>
      </c>
      <c r="C47" s="1003"/>
      <c r="D47" s="1003"/>
      <c r="E47" s="1003"/>
      <c r="F47" s="1551" t="e">
        <f>SUM(F49:G50)</f>
        <v>#DIV/0!</v>
      </c>
      <c r="G47" s="1551"/>
    </row>
    <row r="48" spans="1:7" ht="15" customHeight="1" x14ac:dyDescent="0.5">
      <c r="A48" s="369"/>
      <c r="B48" s="1003"/>
      <c r="C48" s="1003"/>
      <c r="D48" s="1003"/>
      <c r="E48" s="1003"/>
      <c r="F48" s="1551"/>
      <c r="G48" s="1551"/>
    </row>
    <row r="49" spans="2:11" ht="21" customHeight="1" x14ac:dyDescent="0.5">
      <c r="B49" s="1545" t="s">
        <v>482</v>
      </c>
      <c r="C49" s="1545"/>
      <c r="D49" s="1545"/>
      <c r="E49" s="1545"/>
      <c r="F49" s="1546" t="e">
        <f>Calcule!AY31</f>
        <v>#DIV/0!</v>
      </c>
      <c r="G49" s="1547"/>
    </row>
    <row r="50" spans="2:11" x14ac:dyDescent="0.5">
      <c r="B50" s="1553" t="s">
        <v>483</v>
      </c>
      <c r="C50" s="1553"/>
      <c r="D50" s="1553"/>
      <c r="E50" s="1553"/>
      <c r="F50" s="1549" t="e">
        <f>Calcule!AY39</f>
        <v>#DIV/0!</v>
      </c>
      <c r="G50" s="1550"/>
      <c r="K50" s="350"/>
    </row>
  </sheetData>
  <mergeCells count="88">
    <mergeCell ref="J17:M19"/>
    <mergeCell ref="N17:O19"/>
    <mergeCell ref="J20:M22"/>
    <mergeCell ref="N20:O22"/>
    <mergeCell ref="J23:M25"/>
    <mergeCell ref="N23:O25"/>
    <mergeCell ref="J13:M14"/>
    <mergeCell ref="N9:O10"/>
    <mergeCell ref="N11:O12"/>
    <mergeCell ref="N13:O14"/>
    <mergeCell ref="U1:AB1"/>
    <mergeCell ref="E1:L1"/>
    <mergeCell ref="J7:M8"/>
    <mergeCell ref="N7:O8"/>
    <mergeCell ref="G3:J3"/>
    <mergeCell ref="E4:G4"/>
    <mergeCell ref="J4:L4"/>
    <mergeCell ref="H5:I5"/>
    <mergeCell ref="J9:M10"/>
    <mergeCell ref="J11:M12"/>
    <mergeCell ref="B9:E10"/>
    <mergeCell ref="B7:E8"/>
    <mergeCell ref="F28:G28"/>
    <mergeCell ref="F31:G31"/>
    <mergeCell ref="F32:G32"/>
    <mergeCell ref="F33:G33"/>
    <mergeCell ref="B27:E27"/>
    <mergeCell ref="B28:E28"/>
    <mergeCell ref="B29:E30"/>
    <mergeCell ref="B31:E31"/>
    <mergeCell ref="B32:E32"/>
    <mergeCell ref="F29:G30"/>
    <mergeCell ref="F7:G8"/>
    <mergeCell ref="F9:G10"/>
    <mergeCell ref="B13:E14"/>
    <mergeCell ref="B11:E11"/>
    <mergeCell ref="B12:E12"/>
    <mergeCell ref="F11:G11"/>
    <mergeCell ref="F12:G12"/>
    <mergeCell ref="F13:G14"/>
    <mergeCell ref="F18:G19"/>
    <mergeCell ref="F15:G15"/>
    <mergeCell ref="F27:G27"/>
    <mergeCell ref="B22:E22"/>
    <mergeCell ref="B23:E24"/>
    <mergeCell ref="F23:G24"/>
    <mergeCell ref="B16:E16"/>
    <mergeCell ref="B17:E17"/>
    <mergeCell ref="F16:G16"/>
    <mergeCell ref="F17:G17"/>
    <mergeCell ref="B15:E15"/>
    <mergeCell ref="F22:G22"/>
    <mergeCell ref="B18:E19"/>
    <mergeCell ref="B25:E25"/>
    <mergeCell ref="B26:E26"/>
    <mergeCell ref="F25:G25"/>
    <mergeCell ref="B50:E50"/>
    <mergeCell ref="F39:G39"/>
    <mergeCell ref="F42:G42"/>
    <mergeCell ref="F45:G45"/>
    <mergeCell ref="F46:G46"/>
    <mergeCell ref="F49:G49"/>
    <mergeCell ref="F50:G50"/>
    <mergeCell ref="B39:E39"/>
    <mergeCell ref="B42:E42"/>
    <mergeCell ref="B45:E45"/>
    <mergeCell ref="B46:E46"/>
    <mergeCell ref="B49:E49"/>
    <mergeCell ref="B47:E48"/>
    <mergeCell ref="F40:G41"/>
    <mergeCell ref="F43:G44"/>
    <mergeCell ref="F47:G48"/>
    <mergeCell ref="B20:E20"/>
    <mergeCell ref="F20:G20"/>
    <mergeCell ref="B43:E44"/>
    <mergeCell ref="F37:G37"/>
    <mergeCell ref="B37:E37"/>
    <mergeCell ref="B34:E34"/>
    <mergeCell ref="F34:G34"/>
    <mergeCell ref="F35:G36"/>
    <mergeCell ref="B35:E36"/>
    <mergeCell ref="B38:E38"/>
    <mergeCell ref="F38:G38"/>
    <mergeCell ref="B40:E41"/>
    <mergeCell ref="B21:E21"/>
    <mergeCell ref="F21:G21"/>
    <mergeCell ref="F26:G26"/>
    <mergeCell ref="B33:E33"/>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2"/>
  <sheetViews>
    <sheetView workbookViewId="0">
      <selection activeCell="F19" sqref="F19"/>
    </sheetView>
  </sheetViews>
  <sheetFormatPr baseColWidth="10" defaultColWidth="11" defaultRowHeight="18" x14ac:dyDescent="0.5"/>
  <cols>
    <col min="1" max="1" width="35.44140625" customWidth="1"/>
    <col min="3" max="3" width="12.21875" customWidth="1"/>
    <col min="5" max="5" width="12.33203125" customWidth="1"/>
  </cols>
  <sheetData>
    <row r="1" spans="1:3" x14ac:dyDescent="0.5">
      <c r="A1" s="1580" t="s">
        <v>691</v>
      </c>
      <c r="B1" s="1581"/>
    </row>
    <row r="2" spans="1:3" x14ac:dyDescent="0.5">
      <c r="A2" s="184" t="s">
        <v>692</v>
      </c>
      <c r="B2" s="566">
        <f>Exploitation!B17</f>
        <v>0</v>
      </c>
    </row>
    <row r="3" spans="1:3" x14ac:dyDescent="0.5">
      <c r="A3" s="184" t="s">
        <v>693</v>
      </c>
      <c r="B3" s="566">
        <f>Exploitation!B19</f>
        <v>0</v>
      </c>
    </row>
    <row r="4" spans="1:3" ht="18.600000000000001" thickBot="1" x14ac:dyDescent="0.55000000000000004">
      <c r="A4" s="185" t="s">
        <v>694</v>
      </c>
      <c r="B4" s="563">
        <f>Exploitation!B21</f>
        <v>0</v>
      </c>
    </row>
    <row r="5" spans="1:3" ht="18.600000000000001" thickBot="1" x14ac:dyDescent="0.55000000000000004">
      <c r="B5" s="72"/>
    </row>
    <row r="6" spans="1:3" x14ac:dyDescent="0.5">
      <c r="A6" s="1580" t="s">
        <v>695</v>
      </c>
      <c r="B6" s="1588"/>
      <c r="C6" s="1581"/>
    </row>
    <row r="7" spans="1:3" x14ac:dyDescent="0.5">
      <c r="A7" s="184" t="s">
        <v>696</v>
      </c>
      <c r="B7" s="1585">
        <f>Exploitation!B12</f>
        <v>0</v>
      </c>
      <c r="C7" s="1586"/>
    </row>
    <row r="8" spans="1:3" ht="18.600000000000001" thickBot="1" x14ac:dyDescent="0.55000000000000004">
      <c r="A8" s="185" t="s">
        <v>697</v>
      </c>
      <c r="B8" s="1579">
        <f>Exploitation!B30</f>
        <v>0</v>
      </c>
      <c r="C8" s="1587"/>
    </row>
    <row r="9" spans="1:3" ht="18.600000000000001" thickBot="1" x14ac:dyDescent="0.55000000000000004"/>
    <row r="10" spans="1:3" x14ac:dyDescent="0.5">
      <c r="A10" s="1582" t="s">
        <v>698</v>
      </c>
      <c r="B10" s="1583"/>
    </row>
    <row r="11" spans="1:3" x14ac:dyDescent="0.5">
      <c r="A11" s="184" t="s">
        <v>699</v>
      </c>
      <c r="B11" s="582">
        <f>Exploitation!E16+Exploitation!E34</f>
        <v>0</v>
      </c>
    </row>
    <row r="12" spans="1:3" x14ac:dyDescent="0.5">
      <c r="A12" s="184" t="s">
        <v>700</v>
      </c>
      <c r="B12" s="582">
        <f>Exploitation!E17+Exploitation!E22+Exploitation!E28+Exploitation!E33</f>
        <v>0</v>
      </c>
    </row>
    <row r="13" spans="1:3" x14ac:dyDescent="0.5">
      <c r="A13" s="184" t="s">
        <v>701</v>
      </c>
      <c r="B13" s="582">
        <f>Exploitation!E27</f>
        <v>0</v>
      </c>
    </row>
    <row r="14" spans="1:3" x14ac:dyDescent="0.5">
      <c r="A14" s="184" t="s">
        <v>30</v>
      </c>
      <c r="B14" s="582">
        <f>Exploitation!E16</f>
        <v>0</v>
      </c>
    </row>
    <row r="15" spans="1:3" ht="18.600000000000001" thickBot="1" x14ac:dyDescent="0.55000000000000004">
      <c r="A15" s="185" t="s">
        <v>50</v>
      </c>
      <c r="B15" s="583">
        <f>Exploitation!E34</f>
        <v>0</v>
      </c>
    </row>
    <row r="16" spans="1:3" ht="18.600000000000001" thickBot="1" x14ac:dyDescent="0.55000000000000004"/>
    <row r="17" spans="1:3" x14ac:dyDescent="0.5">
      <c r="A17" s="1582" t="s">
        <v>702</v>
      </c>
      <c r="B17" s="1584"/>
      <c r="C17" s="1583"/>
    </row>
    <row r="18" spans="1:3" x14ac:dyDescent="0.5">
      <c r="A18" s="184"/>
      <c r="B18" s="2" t="s">
        <v>703</v>
      </c>
      <c r="C18" s="443" t="s">
        <v>704</v>
      </c>
    </row>
    <row r="19" spans="1:3" x14ac:dyDescent="0.5">
      <c r="A19" s="184" t="s">
        <v>175</v>
      </c>
      <c r="B19" s="2">
        <f>' Elevage'!C3-' Elevage'!C4</f>
        <v>0</v>
      </c>
      <c r="C19" s="443">
        <f>' Elevage'!O3-' Elevage'!O4</f>
        <v>0</v>
      </c>
    </row>
    <row r="20" spans="1:3" x14ac:dyDescent="0.5">
      <c r="A20" s="184" t="s">
        <v>705</v>
      </c>
      <c r="B20" s="2">
        <f>' Elevage'!C4</f>
        <v>0</v>
      </c>
      <c r="C20" s="443">
        <f>' Elevage'!O4</f>
        <v>0</v>
      </c>
    </row>
    <row r="21" spans="1:3" x14ac:dyDescent="0.5">
      <c r="A21" s="184" t="s">
        <v>706</v>
      </c>
      <c r="B21" s="2">
        <f>' Elevage'!P12</f>
        <v>0</v>
      </c>
      <c r="C21" s="443">
        <f>' Elevage'!U12</f>
        <v>0</v>
      </c>
    </row>
    <row r="22" spans="1:3" x14ac:dyDescent="0.5">
      <c r="A22" s="184" t="s">
        <v>619</v>
      </c>
      <c r="B22" s="2">
        <f>' Elevage'!E12</f>
        <v>0</v>
      </c>
      <c r="C22" s="443">
        <f>' Elevage'!M12+' Elevage'!M20</f>
        <v>0</v>
      </c>
    </row>
    <row r="23" spans="1:3" ht="18.600000000000001" thickBot="1" x14ac:dyDescent="0.55000000000000004">
      <c r="A23" s="185" t="s">
        <v>68</v>
      </c>
      <c r="B23" s="1579">
        <f>' Elevage'!P3</f>
        <v>0</v>
      </c>
      <c r="C23" s="689"/>
    </row>
    <row r="24" spans="1:3" ht="18.600000000000001" thickBot="1" x14ac:dyDescent="0.55000000000000004"/>
    <row r="25" spans="1:3" x14ac:dyDescent="0.5">
      <c r="A25" s="1582" t="s">
        <v>707</v>
      </c>
      <c r="B25" s="1583"/>
    </row>
    <row r="26" spans="1:3" x14ac:dyDescent="0.5">
      <c r="A26" s="184" t="s">
        <v>708</v>
      </c>
      <c r="B26" s="582">
        <f>'Charges ovin'!C20</f>
        <v>0</v>
      </c>
    </row>
    <row r="27" spans="1:3" x14ac:dyDescent="0.5">
      <c r="A27" s="184" t="s">
        <v>109</v>
      </c>
      <c r="B27" s="582">
        <f>Exploitation!B35</f>
        <v>0</v>
      </c>
    </row>
    <row r="28" spans="1:3" ht="18.600000000000001" thickBot="1" x14ac:dyDescent="0.55000000000000004">
      <c r="A28" s="185" t="s">
        <v>709</v>
      </c>
      <c r="B28" s="583">
        <f>Exploitation!B37</f>
        <v>0</v>
      </c>
    </row>
    <row r="29" spans="1:3" ht="18.600000000000001" thickBot="1" x14ac:dyDescent="0.55000000000000004"/>
    <row r="30" spans="1:3" ht="16.5" customHeight="1" thickBot="1" x14ac:dyDescent="0.55000000000000004">
      <c r="A30" s="1582" t="s">
        <v>710</v>
      </c>
      <c r="B30" s="1583"/>
    </row>
    <row r="31" spans="1:3" ht="16.5" customHeight="1" thickBot="1" x14ac:dyDescent="0.55000000000000004">
      <c r="A31" s="756" t="s">
        <v>711</v>
      </c>
      <c r="B31" s="1592"/>
    </row>
    <row r="32" spans="1:3" ht="18.600000000000001" thickBot="1" x14ac:dyDescent="0.55000000000000004"/>
    <row r="33" spans="1:2" x14ac:dyDescent="0.5">
      <c r="A33" s="1582" t="s">
        <v>712</v>
      </c>
      <c r="B33" s="1583"/>
    </row>
    <row r="34" spans="1:2" x14ac:dyDescent="0.5">
      <c r="A34" s="184" t="s">
        <v>713</v>
      </c>
      <c r="B34" s="443">
        <f>'Charges ovin'!C45</f>
        <v>0</v>
      </c>
    </row>
    <row r="35" spans="1:2" x14ac:dyDescent="0.5">
      <c r="A35" s="184" t="s">
        <v>714</v>
      </c>
      <c r="B35" s="443">
        <f>'Charges ovin'!C47</f>
        <v>0</v>
      </c>
    </row>
    <row r="36" spans="1:2" x14ac:dyDescent="0.5">
      <c r="A36" s="184" t="s">
        <v>190</v>
      </c>
      <c r="B36" s="443">
        <f>'Charges ovin'!C48</f>
        <v>0</v>
      </c>
    </row>
    <row r="37" spans="1:2" x14ac:dyDescent="0.5">
      <c r="A37" s="184" t="s">
        <v>715</v>
      </c>
      <c r="B37" s="443">
        <f>'Charges ovin'!C50</f>
        <v>0</v>
      </c>
    </row>
    <row r="38" spans="1:2" x14ac:dyDescent="0.5">
      <c r="A38" s="184" t="s">
        <v>716</v>
      </c>
      <c r="B38" s="443">
        <f>'Charges ovin'!C49</f>
        <v>0</v>
      </c>
    </row>
    <row r="39" spans="1:2" ht="18.600000000000001" thickBot="1" x14ac:dyDescent="0.55000000000000004">
      <c r="A39" s="185" t="s">
        <v>193</v>
      </c>
      <c r="B39" s="444">
        <f>'Charges ovin'!C51+'Charges ovin'!C52</f>
        <v>0</v>
      </c>
    </row>
    <row r="40" spans="1:2" ht="18.600000000000001" thickBot="1" x14ac:dyDescent="0.55000000000000004">
      <c r="A40" s="756" t="s">
        <v>717</v>
      </c>
      <c r="B40" s="1592"/>
    </row>
    <row r="42" spans="1:2" ht="18.600000000000001" thickBot="1" x14ac:dyDescent="0.55000000000000004"/>
    <row r="43" spans="1:2" x14ac:dyDescent="0.5">
      <c r="A43" s="1582" t="s">
        <v>718</v>
      </c>
      <c r="B43" s="1583"/>
    </row>
    <row r="44" spans="1:2" x14ac:dyDescent="0.5">
      <c r="A44" s="184" t="s">
        <v>719</v>
      </c>
      <c r="B44" s="443">
        <f>'Stock et ration '!B3</f>
        <v>0</v>
      </c>
    </row>
    <row r="45" spans="1:2" x14ac:dyDescent="0.5">
      <c r="A45" s="184" t="s">
        <v>720</v>
      </c>
      <c r="B45" s="443">
        <f>'Stock et ration '!D3</f>
        <v>0</v>
      </c>
    </row>
    <row r="46" spans="1:2" x14ac:dyDescent="0.5">
      <c r="A46" s="184" t="s">
        <v>721</v>
      </c>
      <c r="B46" s="443">
        <f>'Charges ovin'!C15+'Charges ovin'!C19</f>
        <v>0</v>
      </c>
    </row>
    <row r="47" spans="1:2" x14ac:dyDescent="0.5">
      <c r="A47" s="184" t="s">
        <v>722</v>
      </c>
      <c r="B47" s="443">
        <f>'Produit ovin'!O12</f>
        <v>0</v>
      </c>
    </row>
    <row r="48" spans="1:2" x14ac:dyDescent="0.5">
      <c r="A48" s="184" t="s">
        <v>723</v>
      </c>
      <c r="B48" s="443">
        <f>'Produit ovin'!O11</f>
        <v>0</v>
      </c>
    </row>
    <row r="49" spans="1:2" x14ac:dyDescent="0.5">
      <c r="A49" s="184" t="s">
        <v>724</v>
      </c>
      <c r="B49" s="443">
        <f>'Stock et ration '!G3</f>
        <v>0</v>
      </c>
    </row>
    <row r="50" spans="1:2" x14ac:dyDescent="0.5">
      <c r="A50" s="184" t="s">
        <v>725</v>
      </c>
      <c r="B50" s="443">
        <f>'Stock et ration '!B4</f>
        <v>0</v>
      </c>
    </row>
    <row r="51" spans="1:2" x14ac:dyDescent="0.5">
      <c r="A51" s="184" t="s">
        <v>726</v>
      </c>
      <c r="B51" s="443">
        <f>'Stock et ration '!C4</f>
        <v>0</v>
      </c>
    </row>
    <row r="52" spans="1:2" x14ac:dyDescent="0.5">
      <c r="A52" s="184" t="s">
        <v>727</v>
      </c>
      <c r="B52" s="443">
        <f>'Stock et ration '!D4</f>
        <v>0</v>
      </c>
    </row>
    <row r="53" spans="1:2" x14ac:dyDescent="0.5">
      <c r="A53" s="184" t="s">
        <v>728</v>
      </c>
      <c r="B53" s="443">
        <f>'Charges ovin'!C17</f>
        <v>0</v>
      </c>
    </row>
    <row r="54" spans="1:2" x14ac:dyDescent="0.5">
      <c r="A54" s="184" t="s">
        <v>729</v>
      </c>
      <c r="B54" s="443">
        <f>'Stock et ration '!E4</f>
        <v>0</v>
      </c>
    </row>
    <row r="55" spans="1:2" x14ac:dyDescent="0.5">
      <c r="A55" s="184" t="s">
        <v>730</v>
      </c>
      <c r="B55" s="443">
        <f>'Grandes cultures'!BB31+'Grandes cultures'!BJ31+'Grandes cultures'!AT31+'Grandes cultures'!AL31+'Grandes cultures'!AD31+'Grandes cultures'!V31+'Grandes cultures'!N31+'Grandes cultures'!F31</f>
        <v>0</v>
      </c>
    </row>
    <row r="56" spans="1:2" ht="18.600000000000001" thickBot="1" x14ac:dyDescent="0.55000000000000004">
      <c r="A56" s="185" t="s">
        <v>731</v>
      </c>
      <c r="B56" s="444">
        <f>'Stock et ration '!G4</f>
        <v>0</v>
      </c>
    </row>
    <row r="57" spans="1:2" ht="18.600000000000001" thickBot="1" x14ac:dyDescent="0.55000000000000004"/>
    <row r="58" spans="1:2" x14ac:dyDescent="0.5">
      <c r="A58" s="1582" t="s">
        <v>153</v>
      </c>
      <c r="B58" s="1583"/>
    </row>
    <row r="59" spans="1:2" x14ac:dyDescent="0.5">
      <c r="A59" s="184" t="s">
        <v>732</v>
      </c>
      <c r="B59" s="443">
        <f>'Stock et ration '!B6</f>
        <v>0</v>
      </c>
    </row>
    <row r="60" spans="1:2" x14ac:dyDescent="0.5">
      <c r="A60" s="184" t="s">
        <v>733</v>
      </c>
      <c r="B60" s="443">
        <f>'Stock et ration '!D6</f>
        <v>0</v>
      </c>
    </row>
    <row r="61" spans="1:2" x14ac:dyDescent="0.5">
      <c r="A61" s="184" t="s">
        <v>734</v>
      </c>
      <c r="B61" s="443">
        <f>'Charges ovin'!C9</f>
        <v>0</v>
      </c>
    </row>
    <row r="62" spans="1:2" x14ac:dyDescent="0.5">
      <c r="A62" s="184" t="s">
        <v>735</v>
      </c>
      <c r="B62" s="443">
        <f>'Stock et ration '!G6</f>
        <v>0</v>
      </c>
    </row>
    <row r="63" spans="1:2" x14ac:dyDescent="0.5">
      <c r="A63" s="184" t="s">
        <v>736</v>
      </c>
      <c r="B63" s="443">
        <f>'Charges ovin'!C12</f>
        <v>0</v>
      </c>
    </row>
    <row r="64" spans="1:2" x14ac:dyDescent="0.5">
      <c r="A64" s="184" t="s">
        <v>737</v>
      </c>
      <c r="B64" s="443">
        <f>'Charges ovin'!C11</f>
        <v>0</v>
      </c>
    </row>
    <row r="65" spans="1:4" x14ac:dyDescent="0.5">
      <c r="A65" s="184" t="s">
        <v>738</v>
      </c>
      <c r="B65" s="443">
        <f>'Charges ovin'!C5</f>
        <v>0</v>
      </c>
    </row>
    <row r="66" spans="1:4" x14ac:dyDescent="0.5">
      <c r="A66" s="184" t="s">
        <v>739</v>
      </c>
      <c r="B66" s="443">
        <f>'Charges ovin'!C4</f>
        <v>0</v>
      </c>
    </row>
    <row r="67" spans="1:4" x14ac:dyDescent="0.5">
      <c r="A67" s="184" t="s">
        <v>740</v>
      </c>
      <c r="B67" s="443">
        <f>'Charges ovin'!C14</f>
        <v>0</v>
      </c>
    </row>
    <row r="68" spans="1:4" ht="18.600000000000001" thickBot="1" x14ac:dyDescent="0.55000000000000004">
      <c r="A68" s="185" t="s">
        <v>741</v>
      </c>
      <c r="B68" s="444">
        <f>'Charges ovin'!C13</f>
        <v>0</v>
      </c>
    </row>
    <row r="69" spans="1:4" ht="18.600000000000001" thickBot="1" x14ac:dyDescent="0.55000000000000004"/>
    <row r="70" spans="1:4" ht="18.600000000000001" thickBot="1" x14ac:dyDescent="0.55000000000000004">
      <c r="A70" s="1598" t="s">
        <v>742</v>
      </c>
      <c r="B70" s="1599"/>
      <c r="C70" s="1599"/>
      <c r="D70" s="1600"/>
    </row>
    <row r="71" spans="1:4" x14ac:dyDescent="0.5">
      <c r="A71" s="584" t="s">
        <v>743</v>
      </c>
      <c r="B71" s="1593">
        <f>'Bilan complet'!DD8+'Bilan complet'!DD10</f>
        <v>0</v>
      </c>
      <c r="C71" s="1584"/>
      <c r="D71" s="1583"/>
    </row>
    <row r="72" spans="1:4" x14ac:dyDescent="0.5">
      <c r="A72" s="589" t="s">
        <v>744</v>
      </c>
      <c r="B72" s="1589">
        <f>'Bilan complet'!DD9</f>
        <v>0</v>
      </c>
      <c r="C72" s="1590"/>
      <c r="D72" s="1594"/>
    </row>
    <row r="73" spans="1:4" x14ac:dyDescent="0.5">
      <c r="A73" s="589" t="s">
        <v>745</v>
      </c>
      <c r="B73" s="1589">
        <f>'Bilan complet'!DD11</f>
        <v>0</v>
      </c>
      <c r="C73" s="1590"/>
      <c r="D73" s="1594"/>
    </row>
    <row r="74" spans="1:4" ht="18.600000000000001" thickBot="1" x14ac:dyDescent="0.55000000000000004">
      <c r="A74" s="590" t="s">
        <v>746</v>
      </c>
      <c r="B74" s="1595">
        <f>'Bilan complet'!DD13</f>
        <v>0</v>
      </c>
      <c r="C74" s="1596"/>
      <c r="D74" s="1597"/>
    </row>
    <row r="75" spans="1:4" x14ac:dyDescent="0.5">
      <c r="A75" s="580"/>
      <c r="B75" s="145" t="s">
        <v>113</v>
      </c>
      <c r="C75" s="145" t="s">
        <v>747</v>
      </c>
      <c r="D75" s="581" t="s">
        <v>748</v>
      </c>
    </row>
    <row r="76" spans="1:4" x14ac:dyDescent="0.5">
      <c r="A76" s="184" t="s">
        <v>131</v>
      </c>
      <c r="B76" s="2">
        <f>GETPIVOTDATA("Somme de Nombre",Calcule!$A$2,"Type animaux","Agneaux lourds standards")</f>
        <v>0</v>
      </c>
      <c r="C76" s="2">
        <f>GETPIVOTDATA("Somme de Montant",Calcule!$A$2,"Type animaux","Agneaux lourds standards")</f>
        <v>0</v>
      </c>
      <c r="D76" s="443">
        <f>GETPIVOTDATA("Somme de Poids carcasse",Calcule!$A$2,"Type animaux","Agneaux lourds standards")</f>
        <v>0</v>
      </c>
    </row>
    <row r="77" spans="1:4" x14ac:dyDescent="0.5">
      <c r="A77" s="184" t="s">
        <v>129</v>
      </c>
      <c r="B77" s="2">
        <f>GETPIVOTDATA("Somme de Nombre",Calcule!$A$2,"Type animaux","Agneaux lourds label")</f>
        <v>0</v>
      </c>
      <c r="C77" s="2">
        <f>GETPIVOTDATA("Somme de Montant",Calcule!$A$2,"Type animaux","Agneaux lourds label")</f>
        <v>0</v>
      </c>
      <c r="D77" s="443">
        <f>GETPIVOTDATA("Somme de Poids carcasse",Calcule!$A$2,"Type animaux","Agneaux lourds label")</f>
        <v>0</v>
      </c>
    </row>
    <row r="78" spans="1:4" x14ac:dyDescent="0.5">
      <c r="A78" s="184" t="s">
        <v>130</v>
      </c>
      <c r="B78" s="2">
        <f>GETPIVOTDATA("Somme de Nombre",Calcule!$A$2,"Type animaux","Agneaux lourds bio")</f>
        <v>0</v>
      </c>
      <c r="C78" s="2">
        <f>GETPIVOTDATA("Somme de Montant",Calcule!$A$2,"Type animaux","Agneaux lourds bio")</f>
        <v>0</v>
      </c>
      <c r="D78" s="443">
        <f>GETPIVOTDATA("Somme de Poids carcasse",Calcule!$A$2,"Type animaux","Agneaux lourds bio")</f>
        <v>0</v>
      </c>
    </row>
    <row r="79" spans="1:4" x14ac:dyDescent="0.5">
      <c r="A79" s="184" t="s">
        <v>136</v>
      </c>
      <c r="B79" s="2">
        <f>GETPIVOTDATA("Somme de Nombre",Calcule!$A$2,"Type animaux","Agneaux légers")</f>
        <v>0</v>
      </c>
      <c r="C79" s="2">
        <f>GETPIVOTDATA("Somme de Montant",Calcule!$A$2,"Type animaux","Agneaux légers")</f>
        <v>0</v>
      </c>
      <c r="D79" s="443">
        <f>GETPIVOTDATA("Somme de Poids carcasse",Calcule!$A$2,"Type animaux","Agneaux légers")</f>
        <v>0</v>
      </c>
    </row>
    <row r="80" spans="1:4" x14ac:dyDescent="0.5">
      <c r="A80" s="184" t="s">
        <v>135</v>
      </c>
      <c r="B80" s="2">
        <f>GETPIVOTDATA("Somme de Nombre",Calcule!$A$2,"Type animaux","Agneaux maigres")</f>
        <v>0</v>
      </c>
      <c r="C80" s="2">
        <f>GETPIVOTDATA("Somme de Montant",Calcule!$A$2,"Type animaux","Agneaux maigres")</f>
        <v>0</v>
      </c>
      <c r="D80" s="443">
        <f>GETPIVOTDATA("Somme de Poids carcasse",Calcule!$A$2,"Type animaux","Agneaux maigres")</f>
        <v>0</v>
      </c>
    </row>
    <row r="81" spans="1:5" x14ac:dyDescent="0.5">
      <c r="A81" s="184" t="s">
        <v>134</v>
      </c>
      <c r="B81" s="2">
        <f>GETPIVOTDATA("Somme de Nombre",Calcule!$A$2,"Type animaux","Tardons finis")</f>
        <v>0</v>
      </c>
      <c r="C81" s="2">
        <f>GETPIVOTDATA("Somme de Montant",Calcule!$A$2,"Type animaux","Tardons finis")</f>
        <v>0</v>
      </c>
      <c r="D81" s="443">
        <f>GETPIVOTDATA("Somme de Poids carcasse",Calcule!$A$2,"Type animaux","Tardons finis")</f>
        <v>0</v>
      </c>
    </row>
    <row r="82" spans="1:5" x14ac:dyDescent="0.5">
      <c r="A82" s="184" t="s">
        <v>137</v>
      </c>
      <c r="B82" s="2">
        <f>GETPIVOTDATA("Somme de Nombre",Calcule!$A$2,"Type animaux","Jeunes femelles reproduction")</f>
        <v>0</v>
      </c>
      <c r="C82" s="2">
        <f>GETPIVOTDATA("Somme de Montant",Calcule!$A$2,"Type animaux","Jeunes femelles reproduction")</f>
        <v>0</v>
      </c>
      <c r="D82" s="443">
        <f>GETPIVOTDATA("Somme de Poids carcasse",Calcule!$A$2,"Type animaux","Jeunes femelles reproduction")</f>
        <v>0</v>
      </c>
    </row>
    <row r="83" spans="1:5" x14ac:dyDescent="0.5">
      <c r="A83" s="184" t="s">
        <v>138</v>
      </c>
      <c r="B83" s="2">
        <f>GETPIVOTDATA("Somme de Nombre",Calcule!$A$2,"Type animaux","Jeunes males reproduction")</f>
        <v>0</v>
      </c>
      <c r="C83" s="2">
        <f>GETPIVOTDATA("Somme de Montant",Calcule!$A$2,"Type animaux","Jeunes males reproduction")</f>
        <v>0</v>
      </c>
      <c r="D83" s="443">
        <f>GETPIVOTDATA("Somme de Poids carcasse",Calcule!$A$2,"Type animaux","Jeunes males reproduction")</f>
        <v>0</v>
      </c>
    </row>
    <row r="84" spans="1:5" x14ac:dyDescent="0.5">
      <c r="A84" s="184" t="s">
        <v>133</v>
      </c>
      <c r="B84" s="2">
        <f>GETPIVOTDATA("Somme de Nombre",Calcule!$A$2,"Type animaux","Tardons maigres")</f>
        <v>0</v>
      </c>
      <c r="C84" s="2">
        <f>GETPIVOTDATA("Somme de Montant",Calcule!$A$2,"Type animaux","Tardons maigres")</f>
        <v>0</v>
      </c>
      <c r="D84" s="443">
        <f>GETPIVOTDATA("Somme de Poids carcasse",Calcule!$A$2,"Type animaux","Tardons maigres")</f>
        <v>0</v>
      </c>
    </row>
    <row r="85" spans="1:5" x14ac:dyDescent="0.5">
      <c r="A85" s="184" t="s">
        <v>143</v>
      </c>
      <c r="B85" s="2">
        <f>GETPIVOTDATA("Somme de Nombre",Calcule!$A$2,"Type animaux","Brebis réformés")</f>
        <v>0</v>
      </c>
      <c r="C85" s="2">
        <f>GETPIVOTDATA("Somme de Montant",Calcule!$A$2,"Type animaux","Brebis réformés")</f>
        <v>0</v>
      </c>
      <c r="D85" s="443">
        <f>GETPIVOTDATA("Somme de Poids carcasse",Calcule!$A$2,"Type animaux","Brebis réformés")</f>
        <v>0</v>
      </c>
    </row>
    <row r="86" spans="1:5" x14ac:dyDescent="0.5">
      <c r="A86" s="184" t="s">
        <v>144</v>
      </c>
      <c r="B86" s="2">
        <f>GETPIVOTDATA("Somme de Nombre",Calcule!$A$2,"Type animaux","Béliers réformés")</f>
        <v>0</v>
      </c>
      <c r="C86" s="2">
        <f>GETPIVOTDATA("Somme de Montant",Calcule!$A$2,"Type animaux","Béliers réformés")</f>
        <v>0</v>
      </c>
      <c r="D86" s="443">
        <f>GETPIVOTDATA("Somme de Poids carcasse",Calcule!$A$2,"Type animaux","Béliers réformés")</f>
        <v>0</v>
      </c>
    </row>
    <row r="87" spans="1:5" x14ac:dyDescent="0.5">
      <c r="A87" s="184" t="s">
        <v>141</v>
      </c>
      <c r="B87" s="2">
        <f>GETPIVOTDATA("Somme de Nombre",Calcule!$A$2,"Type animaux","Brebis reproduction")</f>
        <v>0</v>
      </c>
      <c r="C87" s="2">
        <f>GETPIVOTDATA("Somme de Montant",Calcule!$A$2,"Type animaux","Brebis reproduction")</f>
        <v>0</v>
      </c>
      <c r="D87" s="443">
        <f>GETPIVOTDATA("Somme de Poids carcasse",Calcule!$A$2,"Type animaux","Brebis reproduction")</f>
        <v>0</v>
      </c>
    </row>
    <row r="88" spans="1:5" x14ac:dyDescent="0.5">
      <c r="A88" s="184" t="s">
        <v>145</v>
      </c>
      <c r="B88" s="2">
        <f>GETPIVOTDATA("Somme de Nombre",Calcule!$A$2,"Type animaux","Béliers reproduction")</f>
        <v>0</v>
      </c>
      <c r="C88" s="2">
        <f>GETPIVOTDATA("Somme de Montant",Calcule!$A$2,"Type animaux","Béliers reproduction")</f>
        <v>0</v>
      </c>
      <c r="D88" s="443">
        <f>GETPIVOTDATA("Somme de Poids carcasse",Calcule!$A$2,"Type animaux","Béliers reproduction")</f>
        <v>0</v>
      </c>
    </row>
    <row r="89" spans="1:5" x14ac:dyDescent="0.5">
      <c r="A89" s="184" t="s">
        <v>749</v>
      </c>
      <c r="B89" s="2">
        <f>Calcule!P7</f>
        <v>0</v>
      </c>
      <c r="C89" s="2">
        <f>Calcule!R7</f>
        <v>0</v>
      </c>
      <c r="D89" s="443">
        <f>Calcule!Q7</f>
        <v>0</v>
      </c>
    </row>
    <row r="90" spans="1:5" x14ac:dyDescent="0.5">
      <c r="A90" s="184" t="s">
        <v>750</v>
      </c>
      <c r="B90" s="2">
        <f>'Charges ovin'!C30</f>
        <v>0</v>
      </c>
      <c r="C90" s="2">
        <f>'Charges ovin'!C29</f>
        <v>0</v>
      </c>
      <c r="D90" s="585"/>
    </row>
    <row r="91" spans="1:5" x14ac:dyDescent="0.5">
      <c r="A91" s="184" t="s">
        <v>751</v>
      </c>
      <c r="B91" s="2">
        <f>'Charges ovin'!C32</f>
        <v>0</v>
      </c>
      <c r="C91" s="2">
        <f>'Charges ovin'!C31</f>
        <v>0</v>
      </c>
      <c r="D91" s="585"/>
    </row>
    <row r="92" spans="1:5" x14ac:dyDescent="0.5">
      <c r="A92" s="586" t="s">
        <v>752</v>
      </c>
      <c r="B92" s="2">
        <f>'Charges ovin'!C34</f>
        <v>0</v>
      </c>
      <c r="C92" s="2">
        <f>'Charges ovin'!C33</f>
        <v>0</v>
      </c>
      <c r="D92" s="585"/>
    </row>
    <row r="93" spans="1:5" x14ac:dyDescent="0.5">
      <c r="A93" s="184" t="s">
        <v>39</v>
      </c>
      <c r="B93" s="145">
        <f>' Elevage'!C3</f>
        <v>0</v>
      </c>
      <c r="D93" s="585"/>
    </row>
    <row r="94" spans="1:5" ht="18.600000000000001" thickBot="1" x14ac:dyDescent="0.55000000000000004">
      <c r="A94" s="185" t="s">
        <v>41</v>
      </c>
      <c r="B94" s="3">
        <f>' Elevage'!P12</f>
        <v>0</v>
      </c>
      <c r="C94" s="587"/>
      <c r="D94" s="588"/>
    </row>
    <row r="96" spans="1:5" x14ac:dyDescent="0.5">
      <c r="A96" s="1589" t="s">
        <v>753</v>
      </c>
      <c r="B96" s="1590"/>
      <c r="C96" s="1590"/>
      <c r="D96" s="1590"/>
      <c r="E96" s="1591"/>
    </row>
    <row r="97" spans="1:5" x14ac:dyDescent="0.5">
      <c r="A97" s="2"/>
      <c r="B97" s="145" t="s">
        <v>642</v>
      </c>
      <c r="C97" s="145" t="s">
        <v>97</v>
      </c>
      <c r="D97" s="145" t="s">
        <v>98</v>
      </c>
      <c r="E97" s="145" t="s">
        <v>99</v>
      </c>
    </row>
    <row r="98" spans="1:5" x14ac:dyDescent="0.5">
      <c r="A98" s="2" t="s">
        <v>103</v>
      </c>
      <c r="B98" s="147">
        <f>' Elevage'!C16</f>
        <v>0</v>
      </c>
      <c r="C98" s="2">
        <f>' Elevage'!F16</f>
        <v>0</v>
      </c>
      <c r="D98" s="2">
        <f>' Elevage'!G16</f>
        <v>0</v>
      </c>
      <c r="E98" s="2">
        <f>' Elevage'!H16</f>
        <v>0</v>
      </c>
    </row>
    <row r="99" spans="1:5" x14ac:dyDescent="0.5">
      <c r="A99" s="2" t="s">
        <v>104</v>
      </c>
      <c r="B99" s="147">
        <f>' Elevage'!C17</f>
        <v>0</v>
      </c>
      <c r="C99" s="2">
        <f>' Elevage'!F17</f>
        <v>0</v>
      </c>
      <c r="D99" s="2">
        <f>' Elevage'!G17</f>
        <v>0</v>
      </c>
      <c r="E99" s="2">
        <f>' Elevage'!H17</f>
        <v>0</v>
      </c>
    </row>
    <row r="100" spans="1:5" x14ac:dyDescent="0.5">
      <c r="A100" s="2" t="s">
        <v>105</v>
      </c>
      <c r="B100" s="147">
        <f>' Elevage'!C18</f>
        <v>0</v>
      </c>
      <c r="C100" s="2">
        <f>' Elevage'!F18</f>
        <v>0</v>
      </c>
      <c r="D100" s="2">
        <f>' Elevage'!G18</f>
        <v>0</v>
      </c>
      <c r="E100" s="2">
        <f>' Elevage'!H18</f>
        <v>0</v>
      </c>
    </row>
    <row r="101" spans="1:5" x14ac:dyDescent="0.5">
      <c r="A101" s="2" t="s">
        <v>106</v>
      </c>
      <c r="B101" s="147">
        <f>' Elevage'!C19</f>
        <v>0</v>
      </c>
      <c r="C101" s="2">
        <f>' Elevage'!F19</f>
        <v>0</v>
      </c>
      <c r="D101" s="2">
        <f>' Elevage'!G19</f>
        <v>0</v>
      </c>
      <c r="E101" s="2">
        <f>' Elevage'!H19</f>
        <v>0</v>
      </c>
    </row>
    <row r="102" spans="1:5" x14ac:dyDescent="0.5">
      <c r="A102" s="2" t="s">
        <v>754</v>
      </c>
      <c r="B102" s="2">
        <f>' Elevage'!H12</f>
        <v>0</v>
      </c>
    </row>
    <row r="103" spans="1:5" x14ac:dyDescent="0.5">
      <c r="A103" s="2" t="s">
        <v>755</v>
      </c>
      <c r="B103" s="2">
        <f>' Elevage'!K12+' Elevage'!K20</f>
        <v>0</v>
      </c>
    </row>
    <row r="104" spans="1:5" x14ac:dyDescent="0.5">
      <c r="A104" s="2" t="s">
        <v>756</v>
      </c>
      <c r="B104" s="2">
        <f>' Elevage'!P9</f>
        <v>0</v>
      </c>
    </row>
    <row r="105" spans="1:5" x14ac:dyDescent="0.5">
      <c r="A105" s="2" t="s">
        <v>757</v>
      </c>
      <c r="B105" s="2">
        <f>' Elevage'!T12</f>
        <v>0</v>
      </c>
    </row>
    <row r="106" spans="1:5" ht="18.600000000000001" thickBot="1" x14ac:dyDescent="0.55000000000000004"/>
    <row r="107" spans="1:5" x14ac:dyDescent="0.5">
      <c r="A107" s="557" t="s">
        <v>581</v>
      </c>
      <c r="B107" s="558" t="e">
        <f>SUM(B115:B120)</f>
        <v>#DIV/0!</v>
      </c>
    </row>
    <row r="108" spans="1:5" x14ac:dyDescent="0.5">
      <c r="A108" s="580" t="s">
        <v>758</v>
      </c>
      <c r="B108" s="581">
        <f>Aides!B3</f>
        <v>0</v>
      </c>
    </row>
    <row r="109" spans="1:5" x14ac:dyDescent="0.5">
      <c r="A109" s="184" t="s">
        <v>759</v>
      </c>
      <c r="B109" s="443" t="e">
        <f>Aides!C3</f>
        <v>#DIV/0!</v>
      </c>
    </row>
    <row r="110" spans="1:5" x14ac:dyDescent="0.5">
      <c r="A110" s="184" t="s">
        <v>760</v>
      </c>
      <c r="B110" s="443">
        <f>Aides!B4</f>
        <v>0</v>
      </c>
    </row>
    <row r="111" spans="1:5" x14ac:dyDescent="0.5">
      <c r="A111" s="184" t="s">
        <v>761</v>
      </c>
      <c r="B111" s="443" t="e">
        <f>Aides!C4</f>
        <v>#DIV/0!</v>
      </c>
    </row>
    <row r="112" spans="1:5" x14ac:dyDescent="0.5">
      <c r="A112" s="184" t="s">
        <v>762</v>
      </c>
      <c r="B112" s="443">
        <f>Aides!B5</f>
        <v>0</v>
      </c>
    </row>
    <row r="113" spans="1:2" x14ac:dyDescent="0.5">
      <c r="A113" s="184" t="s">
        <v>763</v>
      </c>
      <c r="B113" s="443" t="e">
        <f>Aides!C5</f>
        <v>#DIV/0!</v>
      </c>
    </row>
    <row r="114" spans="1:2" x14ac:dyDescent="0.5">
      <c r="A114" s="184" t="s">
        <v>764</v>
      </c>
      <c r="B114" s="443">
        <f>Aides!D6</f>
        <v>0</v>
      </c>
    </row>
    <row r="115" spans="1:2" x14ac:dyDescent="0.5">
      <c r="A115" s="184" t="s">
        <v>765</v>
      </c>
      <c r="B115" s="443">
        <f>Aides!D9</f>
        <v>0</v>
      </c>
    </row>
    <row r="116" spans="1:2" x14ac:dyDescent="0.5">
      <c r="A116" s="184" t="s">
        <v>316</v>
      </c>
      <c r="B116" s="443">
        <f>Aides!D11</f>
        <v>0</v>
      </c>
    </row>
    <row r="117" spans="1:2" x14ac:dyDescent="0.5">
      <c r="A117" s="184" t="s">
        <v>766</v>
      </c>
      <c r="B117" s="443">
        <f>Aides!D13</f>
        <v>0</v>
      </c>
    </row>
    <row r="118" spans="1:2" x14ac:dyDescent="0.5">
      <c r="A118" s="184" t="s">
        <v>767</v>
      </c>
      <c r="B118" s="443">
        <f>Aides!H3</f>
        <v>0</v>
      </c>
    </row>
    <row r="119" spans="1:2" x14ac:dyDescent="0.5">
      <c r="A119" s="184" t="s">
        <v>768</v>
      </c>
      <c r="B119" s="443" t="e">
        <f>Aides!I3</f>
        <v>#DIV/0!</v>
      </c>
    </row>
    <row r="120" spans="1:2" x14ac:dyDescent="0.5">
      <c r="A120" s="184" t="s">
        <v>769</v>
      </c>
      <c r="B120" s="443">
        <f>Aides!H4</f>
        <v>0</v>
      </c>
    </row>
    <row r="121" spans="1:2" ht="18.600000000000001" thickBot="1" x14ac:dyDescent="0.55000000000000004">
      <c r="A121" s="185" t="s">
        <v>770</v>
      </c>
      <c r="B121" s="444" t="e">
        <f>Aides!I4</f>
        <v>#DIV/0!</v>
      </c>
    </row>
    <row r="122" spans="1:2" ht="18.600000000000001" thickBot="1" x14ac:dyDescent="0.55000000000000004"/>
    <row r="123" spans="1:2" x14ac:dyDescent="0.5">
      <c r="A123" s="1582" t="s">
        <v>195</v>
      </c>
      <c r="B123" s="1583"/>
    </row>
    <row r="124" spans="1:2" x14ac:dyDescent="0.5">
      <c r="A124" s="184" t="s">
        <v>771</v>
      </c>
      <c r="B124" s="443">
        <f>'Produit ovin'!O5</f>
        <v>0</v>
      </c>
    </row>
    <row r="125" spans="1:2" x14ac:dyDescent="0.5">
      <c r="A125" s="184" t="s">
        <v>772</v>
      </c>
      <c r="B125" s="443">
        <f>'Produit ovin'!O4</f>
        <v>0</v>
      </c>
    </row>
    <row r="126" spans="1:2" x14ac:dyDescent="0.5">
      <c r="A126" s="184" t="s">
        <v>773</v>
      </c>
      <c r="B126" s="443">
        <f>'Produit ovin'!O7</f>
        <v>0</v>
      </c>
    </row>
    <row r="127" spans="1:2" x14ac:dyDescent="0.5">
      <c r="A127" s="184" t="s">
        <v>774</v>
      </c>
      <c r="B127" s="443">
        <f>'Produit ovin'!O6</f>
        <v>0</v>
      </c>
    </row>
    <row r="128" spans="1:2" x14ac:dyDescent="0.5">
      <c r="A128" s="184" t="s">
        <v>125</v>
      </c>
      <c r="B128" s="443">
        <f>'Produit ovin'!O9</f>
        <v>0</v>
      </c>
    </row>
    <row r="129" spans="1:2" x14ac:dyDescent="0.5">
      <c r="A129" s="184" t="s">
        <v>553</v>
      </c>
      <c r="B129" s="443">
        <f>'Produit ovin'!O8</f>
        <v>0</v>
      </c>
    </row>
    <row r="130" spans="1:2" ht="18.600000000000001" thickBot="1" x14ac:dyDescent="0.55000000000000004">
      <c r="A130" s="185" t="s">
        <v>775</v>
      </c>
      <c r="B130" s="444">
        <f>'Bilan complet'!FG7+'Bilan complet'!FG9+'Bilan complet'!FG11+'Bilan complet'!FG13+'Bilan complet'!FG15+'Bilan complet'!FG17+'Bilan complet'!FG19+'Bilan complet'!FG21+'Bilan complet'!EY35+'Bilan complet'!EY37+'Bilan complet'!EY39+'Bilan complet'!EY41+'Bilan complet'!EY43</f>
        <v>0</v>
      </c>
    </row>
    <row r="131" spans="1:2" ht="18.600000000000001" thickBot="1" x14ac:dyDescent="0.55000000000000004"/>
    <row r="132" spans="1:2" ht="18.600000000000001" thickBot="1" x14ac:dyDescent="0.55000000000000004">
      <c r="A132" s="559" t="s">
        <v>776</v>
      </c>
      <c r="B132" s="560">
        <f>'Bilan complet'!DL40+'Bilan complet'!FE7+'Bilan complet'!FE9+'Bilan complet'!FE11+'Bilan complet'!FE13+'Bilan complet'!FE15+'Bilan complet'!FE17+'Bilan complet'!FE19+'Bilan complet'!FE21</f>
        <v>0</v>
      </c>
    </row>
    <row r="133" spans="1:2" ht="18.600000000000001" thickBot="1" x14ac:dyDescent="0.55000000000000004">
      <c r="A133" s="559" t="s">
        <v>777</v>
      </c>
      <c r="B133" s="560">
        <f>B134+B139+B140+B144+B145+B146+B147+B148+B149+B150</f>
        <v>0</v>
      </c>
    </row>
    <row r="134" spans="1:2" x14ac:dyDescent="0.5">
      <c r="A134" s="557" t="s">
        <v>778</v>
      </c>
      <c r="B134" s="558">
        <f>SUM(B135:B138)</f>
        <v>0</v>
      </c>
    </row>
    <row r="135" spans="1:2" x14ac:dyDescent="0.5">
      <c r="A135" s="184" t="s">
        <v>779</v>
      </c>
      <c r="B135" s="443">
        <f>'Charges ovin'!C6</f>
        <v>0</v>
      </c>
    </row>
    <row r="136" spans="1:2" x14ac:dyDescent="0.5">
      <c r="A136" s="184" t="s">
        <v>780</v>
      </c>
      <c r="B136" s="443">
        <f>'Charges ovin'!C4+'Charges ovin'!C9</f>
        <v>0</v>
      </c>
    </row>
    <row r="137" spans="1:2" x14ac:dyDescent="0.5">
      <c r="A137" s="184" t="s">
        <v>781</v>
      </c>
      <c r="B137" s="443">
        <f>'Charges ovin'!C11</f>
        <v>0</v>
      </c>
    </row>
    <row r="138" spans="1:2" ht="18.600000000000001" thickBot="1" x14ac:dyDescent="0.55000000000000004">
      <c r="A138" s="185" t="s">
        <v>782</v>
      </c>
      <c r="B138" s="444">
        <f>'Charges ovin'!C13</f>
        <v>0</v>
      </c>
    </row>
    <row r="139" spans="1:2" ht="18.600000000000001" thickBot="1" x14ac:dyDescent="0.55000000000000004">
      <c r="A139" s="454" t="s">
        <v>204</v>
      </c>
      <c r="B139" s="22">
        <f>'Charges ovin'!C15</f>
        <v>0</v>
      </c>
    </row>
    <row r="140" spans="1:2" x14ac:dyDescent="0.5">
      <c r="A140" s="557" t="s">
        <v>384</v>
      </c>
      <c r="B140" s="558">
        <f>SUM(B141:B143)</f>
        <v>0</v>
      </c>
    </row>
    <row r="141" spans="1:2" x14ac:dyDescent="0.5">
      <c r="A141" s="184" t="s">
        <v>164</v>
      </c>
      <c r="B141" s="443">
        <f>'Charges ovin'!C22</f>
        <v>0</v>
      </c>
    </row>
    <row r="142" spans="1:2" x14ac:dyDescent="0.5">
      <c r="A142" s="184" t="s">
        <v>783</v>
      </c>
      <c r="B142" s="443">
        <f>'Charges ovin'!C23</f>
        <v>0</v>
      </c>
    </row>
    <row r="143" spans="1:2" x14ac:dyDescent="0.5">
      <c r="A143" s="184" t="s">
        <v>784</v>
      </c>
      <c r="B143" s="443">
        <f>'Charges ovin'!C25+'Charges ovin'!C24</f>
        <v>0</v>
      </c>
    </row>
    <row r="144" spans="1:2" x14ac:dyDescent="0.5">
      <c r="A144" s="184" t="s">
        <v>785</v>
      </c>
      <c r="B144" s="443">
        <f>'Charges ovin'!C27</f>
        <v>0</v>
      </c>
    </row>
    <row r="145" spans="1:2" x14ac:dyDescent="0.5">
      <c r="A145" s="184" t="s">
        <v>786</v>
      </c>
      <c r="B145" s="443">
        <f>'Charges ovin'!C17</f>
        <v>0</v>
      </c>
    </row>
    <row r="146" spans="1:2" x14ac:dyDescent="0.5">
      <c r="A146" s="184" t="s">
        <v>787</v>
      </c>
      <c r="B146" s="443">
        <f>'Charges ovin'!C19+'Charges ovin'!C20</f>
        <v>0</v>
      </c>
    </row>
    <row r="147" spans="1:2" x14ac:dyDescent="0.5">
      <c r="A147" s="184" t="s">
        <v>241</v>
      </c>
      <c r="B147" s="443">
        <f>'Charges ovin'!C37</f>
        <v>0</v>
      </c>
    </row>
    <row r="148" spans="1:2" x14ac:dyDescent="0.5">
      <c r="A148" s="184" t="s">
        <v>788</v>
      </c>
      <c r="B148" s="443">
        <f>'Charges ovin'!C36</f>
        <v>0</v>
      </c>
    </row>
    <row r="149" spans="1:2" x14ac:dyDescent="0.5">
      <c r="A149" s="184" t="s">
        <v>385</v>
      </c>
      <c r="B149" s="443">
        <f>'Charges ovin'!C41</f>
        <v>0</v>
      </c>
    </row>
    <row r="150" spans="1:2" ht="18.600000000000001" thickBot="1" x14ac:dyDescent="0.55000000000000004">
      <c r="A150" s="185" t="s">
        <v>186</v>
      </c>
      <c r="B150" s="444">
        <f>'Charges ovin'!C42</f>
        <v>0</v>
      </c>
    </row>
    <row r="151" spans="1:2" ht="18.600000000000001" thickBot="1" x14ac:dyDescent="0.55000000000000004">
      <c r="A151" s="559" t="s">
        <v>789</v>
      </c>
      <c r="B151" s="560">
        <f>B152+B153</f>
        <v>0</v>
      </c>
    </row>
    <row r="152" spans="1:2" ht="18.600000000000001" thickBot="1" x14ac:dyDescent="0.55000000000000004">
      <c r="A152" s="559" t="s">
        <v>790</v>
      </c>
      <c r="B152" s="560">
        <f>'Bilan complet'!FE7+'Bilan complet'!FE9+'Bilan complet'!FE11+'Bilan complet'!FE13+'Bilan complet'!FE15+'Bilan complet'!FE17+'Bilan complet'!FE19+'Bilan complet'!FE21</f>
        <v>0</v>
      </c>
    </row>
    <row r="153" spans="1:2" x14ac:dyDescent="0.5">
      <c r="A153" s="561" t="s">
        <v>335</v>
      </c>
      <c r="B153" s="562">
        <f>'Charges ovin'!C43</f>
        <v>0</v>
      </c>
    </row>
    <row r="154" spans="1:2" x14ac:dyDescent="0.5">
      <c r="A154" s="184" t="s">
        <v>713</v>
      </c>
      <c r="B154" s="443">
        <f>'Charges ovin'!C45</f>
        <v>0</v>
      </c>
    </row>
    <row r="155" spans="1:2" x14ac:dyDescent="0.5">
      <c r="A155" s="184" t="s">
        <v>714</v>
      </c>
      <c r="B155" s="443">
        <f>'Charges ovin'!C47</f>
        <v>0</v>
      </c>
    </row>
    <row r="156" spans="1:2" x14ac:dyDescent="0.5">
      <c r="A156" s="184" t="s">
        <v>190</v>
      </c>
      <c r="B156" s="443">
        <f>'Charges ovin'!C48</f>
        <v>0</v>
      </c>
    </row>
    <row r="157" spans="1:2" x14ac:dyDescent="0.5">
      <c r="A157" s="184" t="s">
        <v>715</v>
      </c>
      <c r="B157" s="443">
        <f>'Charges ovin'!C50</f>
        <v>0</v>
      </c>
    </row>
    <row r="158" spans="1:2" x14ac:dyDescent="0.5">
      <c r="A158" s="184" t="s">
        <v>716</v>
      </c>
      <c r="B158" s="443">
        <f>'Charges ovin'!C49</f>
        <v>0</v>
      </c>
    </row>
    <row r="159" spans="1:2" ht="18.600000000000001" thickBot="1" x14ac:dyDescent="0.55000000000000004">
      <c r="A159" s="185" t="s">
        <v>193</v>
      </c>
      <c r="B159" s="444">
        <f>'Charges ovin'!C51+'Charges ovin'!C52</f>
        <v>0</v>
      </c>
    </row>
    <row r="160" spans="1:2" ht="18.600000000000001" thickBot="1" x14ac:dyDescent="0.55000000000000004"/>
    <row r="161" spans="1:2" ht="18.600000000000001" thickBot="1" x14ac:dyDescent="0.55000000000000004">
      <c r="A161" s="559" t="s">
        <v>685</v>
      </c>
      <c r="B161" s="560">
        <f>B163+B166+B170+B177+B181+B184</f>
        <v>0</v>
      </c>
    </row>
    <row r="162" spans="1:2" ht="18.600000000000001" thickBot="1" x14ac:dyDescent="0.55000000000000004">
      <c r="A162" s="564" t="s">
        <v>664</v>
      </c>
      <c r="B162" s="565">
        <f>B176+B180</f>
        <v>0</v>
      </c>
    </row>
    <row r="163" spans="1:2" x14ac:dyDescent="0.5">
      <c r="A163" s="557" t="s">
        <v>791</v>
      </c>
      <c r="B163" s="558">
        <f>SUM(B164:B165)</f>
        <v>0</v>
      </c>
    </row>
    <row r="164" spans="1:2" x14ac:dyDescent="0.5">
      <c r="A164" s="184" t="s">
        <v>792</v>
      </c>
      <c r="B164" s="443">
        <f>'Charges de structure'!C24</f>
        <v>0</v>
      </c>
    </row>
    <row r="165" spans="1:2" ht="18.600000000000001" thickBot="1" x14ac:dyDescent="0.55000000000000004">
      <c r="A165" s="185" t="s">
        <v>793</v>
      </c>
      <c r="B165" s="563">
        <f>'Charges de structure'!C25+'Charges de structure'!C29</f>
        <v>0</v>
      </c>
    </row>
    <row r="166" spans="1:2" x14ac:dyDescent="0.5">
      <c r="A166" s="557" t="s">
        <v>794</v>
      </c>
      <c r="B166" s="558">
        <f>SUM(B167:B169)</f>
        <v>0</v>
      </c>
    </row>
    <row r="167" spans="1:2" x14ac:dyDescent="0.5">
      <c r="A167" s="184" t="s">
        <v>256</v>
      </c>
      <c r="B167" s="443">
        <f>'Charges de structure'!C3</f>
        <v>0</v>
      </c>
    </row>
    <row r="168" spans="1:2" x14ac:dyDescent="0.5">
      <c r="A168" s="184" t="s">
        <v>258</v>
      </c>
      <c r="B168" s="443">
        <f>'Charges de structure'!C5</f>
        <v>0</v>
      </c>
    </row>
    <row r="169" spans="1:2" ht="18.600000000000001" thickBot="1" x14ac:dyDescent="0.55000000000000004">
      <c r="A169" s="185" t="s">
        <v>257</v>
      </c>
      <c r="B169" s="444">
        <f>'Charges de structure'!C4</f>
        <v>0</v>
      </c>
    </row>
    <row r="170" spans="1:2" x14ac:dyDescent="0.5">
      <c r="A170" s="557" t="s">
        <v>795</v>
      </c>
      <c r="B170" s="558">
        <f>SUM(B171:B176)</f>
        <v>0</v>
      </c>
    </row>
    <row r="171" spans="1:2" x14ac:dyDescent="0.5">
      <c r="A171" s="184" t="s">
        <v>796</v>
      </c>
      <c r="B171" s="443"/>
    </row>
    <row r="172" spans="1:2" x14ac:dyDescent="0.5">
      <c r="A172" s="184" t="s">
        <v>797</v>
      </c>
      <c r="B172" s="443">
        <f>'Charges de structure'!C11+'Charges de structure'!C13+'Charges de structure'!C15</f>
        <v>0</v>
      </c>
    </row>
    <row r="173" spans="1:2" x14ac:dyDescent="0.5">
      <c r="A173" s="184" t="s">
        <v>260</v>
      </c>
      <c r="B173" s="443">
        <f>'Charges de structure'!C7</f>
        <v>0</v>
      </c>
    </row>
    <row r="174" spans="1:2" x14ac:dyDescent="0.5">
      <c r="A174" s="184" t="s">
        <v>261</v>
      </c>
      <c r="B174" s="443">
        <f>'Charges de structure'!C8</f>
        <v>0</v>
      </c>
    </row>
    <row r="175" spans="1:2" x14ac:dyDescent="0.5">
      <c r="A175" s="184" t="s">
        <v>262</v>
      </c>
      <c r="B175" s="443"/>
    </row>
    <row r="176" spans="1:2" ht="18.600000000000001" thickBot="1" x14ac:dyDescent="0.55000000000000004">
      <c r="A176" s="185" t="s">
        <v>292</v>
      </c>
      <c r="B176" s="444">
        <f>'Charges de structure'!C40</f>
        <v>0</v>
      </c>
    </row>
    <row r="177" spans="1:2" x14ac:dyDescent="0.5">
      <c r="A177" s="557" t="s">
        <v>798</v>
      </c>
      <c r="B177" s="558">
        <f>SUM(B178:B180)</f>
        <v>0</v>
      </c>
    </row>
    <row r="178" spans="1:2" x14ac:dyDescent="0.5">
      <c r="A178" s="184" t="s">
        <v>270</v>
      </c>
      <c r="B178" s="443">
        <f>'Charges de structure'!C19</f>
        <v>0</v>
      </c>
    </row>
    <row r="179" spans="1:2" x14ac:dyDescent="0.5">
      <c r="A179" s="184" t="s">
        <v>269</v>
      </c>
      <c r="B179" s="443">
        <f>'Charges de structure'!C18</f>
        <v>0</v>
      </c>
    </row>
    <row r="180" spans="1:2" ht="18.600000000000001" thickBot="1" x14ac:dyDescent="0.55000000000000004">
      <c r="A180" s="185" t="s">
        <v>673</v>
      </c>
      <c r="B180" s="444">
        <f>'Charges de structure'!C41</f>
        <v>0</v>
      </c>
    </row>
    <row r="181" spans="1:2" x14ac:dyDescent="0.5">
      <c r="A181" s="557" t="s">
        <v>799</v>
      </c>
      <c r="B181" s="558">
        <f>SUM(B182:B183)</f>
        <v>0</v>
      </c>
    </row>
    <row r="182" spans="1:2" x14ac:dyDescent="0.5">
      <c r="A182" s="184" t="s">
        <v>800</v>
      </c>
      <c r="B182" s="443">
        <f>'Charges de structure'!C46</f>
        <v>0</v>
      </c>
    </row>
    <row r="183" spans="1:2" ht="18.600000000000001" thickBot="1" x14ac:dyDescent="0.55000000000000004">
      <c r="A183" s="185" t="s">
        <v>801</v>
      </c>
      <c r="B183" s="563">
        <f>'Charges de structure'!C43</f>
        <v>0</v>
      </c>
    </row>
    <row r="184" spans="1:2" x14ac:dyDescent="0.5">
      <c r="A184" s="557" t="s">
        <v>802</v>
      </c>
      <c r="B184" s="558">
        <f>SUM(B185:B190)</f>
        <v>0</v>
      </c>
    </row>
    <row r="185" spans="1:2" x14ac:dyDescent="0.5">
      <c r="A185" s="184" t="s">
        <v>803</v>
      </c>
      <c r="B185" s="443">
        <f>'Charges de structure'!C33</f>
        <v>0</v>
      </c>
    </row>
    <row r="186" spans="1:2" x14ac:dyDescent="0.5">
      <c r="A186" s="184" t="s">
        <v>804</v>
      </c>
      <c r="B186" s="443">
        <f>'Charges de structure'!C21</f>
        <v>0</v>
      </c>
    </row>
    <row r="187" spans="1:2" x14ac:dyDescent="0.5">
      <c r="A187" s="184" t="s">
        <v>286</v>
      </c>
      <c r="B187" s="443">
        <f>'Charges de structure'!C34</f>
        <v>0</v>
      </c>
    </row>
    <row r="188" spans="1:2" x14ac:dyDescent="0.5">
      <c r="A188" s="184" t="s">
        <v>287</v>
      </c>
      <c r="B188" s="443">
        <f>'Charges de structure'!C36</f>
        <v>0</v>
      </c>
    </row>
    <row r="189" spans="1:2" x14ac:dyDescent="0.5">
      <c r="A189" s="184" t="s">
        <v>284</v>
      </c>
      <c r="B189" s="443">
        <f>'Charges de structure'!C32</f>
        <v>0</v>
      </c>
    </row>
    <row r="190" spans="1:2" ht="18.600000000000001" thickBot="1" x14ac:dyDescent="0.55000000000000004">
      <c r="A190" s="185" t="s">
        <v>805</v>
      </c>
      <c r="B190" s="563">
        <f>'Charges de structure'!C31+'Charges de structure'!C27+'Charges de structure'!C28</f>
        <v>0</v>
      </c>
    </row>
    <row r="191" spans="1:2" ht="18.600000000000001" thickBot="1" x14ac:dyDescent="0.55000000000000004">
      <c r="A191" s="559" t="s">
        <v>806</v>
      </c>
      <c r="B191" s="560">
        <f>'Charges de structure'!C45</f>
        <v>0</v>
      </c>
    </row>
    <row r="192" spans="1:2" ht="18.600000000000001" thickBot="1" x14ac:dyDescent="0.55000000000000004"/>
    <row r="193" spans="1:2" x14ac:dyDescent="0.5">
      <c r="A193" s="1582" t="s">
        <v>807</v>
      </c>
      <c r="B193" s="1583"/>
    </row>
    <row r="194" spans="1:2" x14ac:dyDescent="0.5">
      <c r="A194" s="184" t="s">
        <v>808</v>
      </c>
      <c r="B194" s="443">
        <f>'Charges de structure'!C37</f>
        <v>0</v>
      </c>
    </row>
    <row r="195" spans="1:2" x14ac:dyDescent="0.5">
      <c r="A195" s="184" t="s">
        <v>809</v>
      </c>
      <c r="B195" s="443">
        <f>'Charges de structure'!C14</f>
        <v>0</v>
      </c>
    </row>
    <row r="196" spans="1:2" x14ac:dyDescent="0.5">
      <c r="A196" s="184" t="s">
        <v>267</v>
      </c>
      <c r="B196" s="566">
        <f>'Charges de structure'!C16</f>
        <v>0</v>
      </c>
    </row>
    <row r="197" spans="1:2" ht="18.600000000000001" thickBot="1" x14ac:dyDescent="0.55000000000000004">
      <c r="A197" s="185" t="s">
        <v>810</v>
      </c>
      <c r="B197" s="444">
        <f>'Charges de structure'!C12</f>
        <v>0</v>
      </c>
    </row>
    <row r="198" spans="1:2" ht="18.600000000000001" thickBot="1" x14ac:dyDescent="0.55000000000000004"/>
    <row r="199" spans="1:2" x14ac:dyDescent="0.5">
      <c r="A199" s="1582" t="s">
        <v>811</v>
      </c>
      <c r="B199" s="1583"/>
    </row>
    <row r="200" spans="1:2" x14ac:dyDescent="0.5">
      <c r="A200" s="184" t="s">
        <v>278</v>
      </c>
      <c r="B200" s="443">
        <f>'Charges de structure'!C27</f>
        <v>0</v>
      </c>
    </row>
    <row r="201" spans="1:2" x14ac:dyDescent="0.5">
      <c r="A201" s="184" t="s">
        <v>812</v>
      </c>
      <c r="B201" s="443">
        <f>'Charges de structure'!C28</f>
        <v>0</v>
      </c>
    </row>
    <row r="202" spans="1:2" ht="18.600000000000001" thickBot="1" x14ac:dyDescent="0.55000000000000004">
      <c r="A202" s="185" t="s">
        <v>813</v>
      </c>
      <c r="B202" s="444">
        <f>'Charges de structure'!C29</f>
        <v>0</v>
      </c>
    </row>
  </sheetData>
  <mergeCells count="23">
    <mergeCell ref="A199:B199"/>
    <mergeCell ref="A123:B123"/>
    <mergeCell ref="A193:B193"/>
    <mergeCell ref="A96:E96"/>
    <mergeCell ref="A30:B30"/>
    <mergeCell ref="A33:B33"/>
    <mergeCell ref="A43:B43"/>
    <mergeCell ref="A58:B58"/>
    <mergeCell ref="A40:B40"/>
    <mergeCell ref="A31:B31"/>
    <mergeCell ref="B71:D71"/>
    <mergeCell ref="B72:D72"/>
    <mergeCell ref="B73:D73"/>
    <mergeCell ref="B74:D74"/>
    <mergeCell ref="A70:D70"/>
    <mergeCell ref="B23:C23"/>
    <mergeCell ref="A1:B1"/>
    <mergeCell ref="A10:B10"/>
    <mergeCell ref="A17:C17"/>
    <mergeCell ref="A25:B25"/>
    <mergeCell ref="B7:C7"/>
    <mergeCell ref="B8:C8"/>
    <mergeCell ref="A6:C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Y278"/>
  <sheetViews>
    <sheetView topLeftCell="AM18" zoomScale="90" zoomScaleNormal="90" workbookViewId="0">
      <selection activeCell="AP32" sqref="AP32"/>
    </sheetView>
  </sheetViews>
  <sheetFormatPr baseColWidth="10" defaultColWidth="11" defaultRowHeight="17.25" customHeight="1" x14ac:dyDescent="0.5"/>
  <cols>
    <col min="1" max="1" width="22.77734375" customWidth="1"/>
    <col min="2" max="2" width="17.21875" customWidth="1"/>
    <col min="3" max="7" width="11" customWidth="1"/>
    <col min="8" max="9" width="11.88671875" customWidth="1"/>
    <col min="10" max="10" width="11.6640625" customWidth="1"/>
    <col min="11" max="11" width="14.77734375" customWidth="1"/>
    <col min="12" max="12" width="15.6640625" customWidth="1"/>
    <col min="14" max="14" width="23.44140625" bestFit="1" customWidth="1"/>
    <col min="15" max="15" width="16" bestFit="1" customWidth="1"/>
    <col min="16" max="16" width="18.33203125" bestFit="1" customWidth="1"/>
    <col min="17" max="17" width="23.77734375" bestFit="1" customWidth="1"/>
    <col min="18" max="18" width="18.33203125" bestFit="1" customWidth="1"/>
    <col min="19" max="19" width="3.88671875" bestFit="1" customWidth="1"/>
    <col min="20" max="20" width="9.21875" bestFit="1" customWidth="1"/>
    <col min="21" max="21" width="5.88671875" bestFit="1" customWidth="1"/>
    <col min="22" max="22" width="12.6640625" bestFit="1" customWidth="1"/>
    <col min="23" max="23" width="19.109375" bestFit="1" customWidth="1"/>
    <col min="24" max="24" width="14.88671875" bestFit="1" customWidth="1"/>
    <col min="25" max="25" width="18.77734375" bestFit="1" customWidth="1"/>
    <col min="26" max="26" width="26.77734375" bestFit="1" customWidth="1"/>
    <col min="27" max="27" width="24.44140625" bestFit="1" customWidth="1"/>
    <col min="28" max="28" width="12.33203125" bestFit="1" customWidth="1"/>
    <col min="29" max="29" width="15.6640625" bestFit="1" customWidth="1"/>
    <col min="30" max="30" width="6" bestFit="1" customWidth="1"/>
    <col min="31" max="31" width="12.6640625" bestFit="1" customWidth="1"/>
    <col min="32" max="36" width="28.109375" customWidth="1"/>
    <col min="37" max="38" width="23.88671875" bestFit="1" customWidth="1"/>
    <col min="39" max="39" width="18.88671875" bestFit="1" customWidth="1"/>
    <col min="40" max="40" width="23.88671875" bestFit="1" customWidth="1"/>
    <col min="41" max="41" width="18.88671875" bestFit="1" customWidth="1"/>
    <col min="42" max="42" width="23.88671875" bestFit="1" customWidth="1"/>
    <col min="43" max="43" width="18.88671875" bestFit="1" customWidth="1"/>
    <col min="44" max="44" width="23.88671875" bestFit="1" customWidth="1"/>
    <col min="45" max="45" width="18.88671875" bestFit="1" customWidth="1"/>
    <col min="46" max="46" width="34.88671875" customWidth="1"/>
    <col min="47" max="47" width="13.88671875" customWidth="1"/>
    <col min="49" max="49" width="21" customWidth="1"/>
    <col min="50" max="50" width="11.6640625" bestFit="1" customWidth="1"/>
    <col min="54" max="54" width="24.109375" customWidth="1"/>
    <col min="55" max="55" width="17.33203125" customWidth="1"/>
    <col min="56" max="56" width="18" customWidth="1"/>
    <col min="57" max="57" width="25" customWidth="1"/>
  </cols>
  <sheetData>
    <row r="1" spans="1:51" ht="17.25" customHeight="1" x14ac:dyDescent="0.5">
      <c r="A1" s="1611" t="s">
        <v>814</v>
      </c>
      <c r="B1" s="1611"/>
      <c r="C1" s="1611"/>
      <c r="D1" s="1611"/>
      <c r="E1" s="1611"/>
      <c r="F1" s="1611"/>
      <c r="G1" s="1611"/>
      <c r="H1" s="1611"/>
      <c r="I1" s="1611"/>
      <c r="J1" s="1611"/>
      <c r="K1" s="1611"/>
      <c r="L1" s="1611"/>
    </row>
    <row r="2" spans="1:51" ht="18.600000000000001" thickBot="1" x14ac:dyDescent="0.55000000000000004">
      <c r="A2" s="2"/>
      <c r="B2" s="2"/>
      <c r="C2" s="2" t="s">
        <v>139</v>
      </c>
      <c r="D2" s="2" t="s">
        <v>103</v>
      </c>
      <c r="E2" s="2" t="s">
        <v>104</v>
      </c>
      <c r="F2" s="2" t="s">
        <v>105</v>
      </c>
      <c r="G2" s="2" t="s">
        <v>106</v>
      </c>
      <c r="H2" s="2" t="s">
        <v>146</v>
      </c>
      <c r="I2" s="2" t="s">
        <v>815</v>
      </c>
      <c r="J2" s="328" t="s">
        <v>116</v>
      </c>
      <c r="K2" s="328" t="s">
        <v>816</v>
      </c>
      <c r="L2" s="328" t="s">
        <v>817</v>
      </c>
      <c r="O2" s="460" t="s">
        <v>112</v>
      </c>
      <c r="P2" s="2" t="s">
        <v>818</v>
      </c>
    </row>
    <row r="3" spans="1:51" ht="17.25" customHeight="1" x14ac:dyDescent="0.5">
      <c r="A3" s="455" t="s">
        <v>129</v>
      </c>
      <c r="B3" s="455" t="s">
        <v>819</v>
      </c>
      <c r="C3" s="181"/>
      <c r="D3" s="182"/>
      <c r="E3" s="182"/>
      <c r="F3" s="182"/>
      <c r="G3" s="182"/>
      <c r="H3" s="182"/>
      <c r="I3" s="600"/>
      <c r="J3" s="1604" t="str">
        <f>IF(I3=0,"",I4/I3)</f>
        <v/>
      </c>
      <c r="K3" s="1601">
        <f>IF(I3=0,0,I5/I3)</f>
        <v>0</v>
      </c>
      <c r="L3" s="1608">
        <f>IF(I4=0,0,I5/I4)</f>
        <v>0</v>
      </c>
      <c r="AL3" s="1612" t="s">
        <v>820</v>
      </c>
      <c r="AM3" s="1612"/>
      <c r="AN3" s="1612"/>
      <c r="AO3" s="1612"/>
      <c r="AT3" s="1613" t="s">
        <v>821</v>
      </c>
      <c r="AU3" s="1614"/>
      <c r="AV3" s="1614"/>
      <c r="AW3" s="1614"/>
      <c r="AX3" s="1614"/>
      <c r="AY3" s="1615"/>
    </row>
    <row r="4" spans="1:51" ht="17.25" customHeight="1" x14ac:dyDescent="0.5">
      <c r="A4" s="445"/>
      <c r="B4" s="445" t="s">
        <v>822</v>
      </c>
      <c r="C4" s="184"/>
      <c r="D4" s="2"/>
      <c r="E4" s="2"/>
      <c r="F4" s="2"/>
      <c r="G4" s="2"/>
      <c r="H4" s="2"/>
      <c r="I4" s="443"/>
      <c r="J4" s="1605"/>
      <c r="K4" s="1602"/>
      <c r="L4" s="1609"/>
      <c r="O4" s="2"/>
      <c r="P4" s="2" t="s">
        <v>819</v>
      </c>
      <c r="Q4" s="2" t="s">
        <v>822</v>
      </c>
      <c r="R4" s="2" t="s">
        <v>823</v>
      </c>
      <c r="AL4" s="2" t="s">
        <v>373</v>
      </c>
      <c r="AM4" s="243">
        <f>IF('Bilan complet'!AU7=0,0,('Bilan complet'!DD6+'Bilan complet'!DD13+'Bilan complet'!DD11)/'Bilan complet'!AU7)</f>
        <v>0</v>
      </c>
      <c r="AN4" s="243"/>
      <c r="AO4" s="2"/>
      <c r="AT4" s="1616"/>
      <c r="AU4" s="1617"/>
      <c r="AV4" s="1617"/>
      <c r="AW4" s="1012"/>
      <c r="AX4" s="1012"/>
      <c r="AY4" s="1618"/>
    </row>
    <row r="5" spans="1:51" ht="18.600000000000001" thickBot="1" x14ac:dyDescent="0.55000000000000004">
      <c r="A5" s="445"/>
      <c r="B5" s="445" t="s">
        <v>823</v>
      </c>
      <c r="C5" s="184"/>
      <c r="D5" s="2"/>
      <c r="E5" s="2"/>
      <c r="F5" s="2"/>
      <c r="G5" s="2"/>
      <c r="H5" s="2"/>
      <c r="I5" s="443"/>
      <c r="J5" s="1606"/>
      <c r="K5" s="1603"/>
      <c r="L5" s="1610"/>
      <c r="O5" s="322" t="s">
        <v>140</v>
      </c>
      <c r="P5" s="2"/>
      <c r="Q5" s="2"/>
      <c r="R5" s="2"/>
      <c r="AL5" s="2" t="s">
        <v>204</v>
      </c>
      <c r="AM5" s="243">
        <f>IF('Bilan complet'!AU7=0,0,'Bilan complet'!DD17/'Bilan complet'!AU7)</f>
        <v>0</v>
      </c>
      <c r="AN5" s="243"/>
      <c r="AO5" s="2"/>
      <c r="AT5" s="354" t="s">
        <v>4</v>
      </c>
      <c r="AU5" s="351">
        <f>Exploitation!K2</f>
        <v>0</v>
      </c>
      <c r="AW5" s="374" t="s">
        <v>824</v>
      </c>
      <c r="AX5" s="375" t="e">
        <f>AX6+AX9+AX13+AX17+AX21+AX25+AX27+AX30+AX32+AX36+AX39</f>
        <v>#N/A</v>
      </c>
      <c r="AY5" s="373" t="e">
        <f>AX5/$AU$52</f>
        <v>#N/A</v>
      </c>
    </row>
    <row r="6" spans="1:51" ht="18" x14ac:dyDescent="0.5">
      <c r="A6" s="455" t="s">
        <v>132</v>
      </c>
      <c r="B6" s="455" t="s">
        <v>819</v>
      </c>
      <c r="C6" s="181"/>
      <c r="D6" s="182"/>
      <c r="E6" s="182"/>
      <c r="F6" s="182"/>
      <c r="G6" s="182"/>
      <c r="H6" s="182"/>
      <c r="I6" s="600"/>
      <c r="J6" s="1604" t="str">
        <f t="shared" ref="J6" si="0">IF(I6=0,"",I7/I6)</f>
        <v/>
      </c>
      <c r="K6" s="1601">
        <f t="shared" ref="K6" si="1">IF(I6=0,0,I8/I6)</f>
        <v>0</v>
      </c>
      <c r="L6" s="1608">
        <f t="shared" ref="L6" si="2">IF(I7=0,0,I8/I7)</f>
        <v>0</v>
      </c>
      <c r="O6" s="322" t="s">
        <v>147</v>
      </c>
      <c r="P6" s="2"/>
      <c r="Q6" s="2"/>
      <c r="R6" s="2"/>
      <c r="AL6" s="2" t="s">
        <v>553</v>
      </c>
      <c r="AM6" s="243">
        <f>IF('Bilan complet'!AU7=0,0,'Bilan complet'!DD19/'Bilan complet'!AU7)</f>
        <v>0</v>
      </c>
      <c r="AN6" s="243"/>
      <c r="AO6" s="2"/>
      <c r="AT6" s="354" t="s">
        <v>6</v>
      </c>
      <c r="AU6" s="351">
        <f>Exploitation!K3</f>
        <v>0</v>
      </c>
      <c r="AW6" s="374" t="s">
        <v>455</v>
      </c>
      <c r="AX6" s="375">
        <f>SUM(AX7:AX8)</f>
        <v>0</v>
      </c>
      <c r="AY6" s="373" t="e">
        <f t="shared" ref="AY6:AY31" si="3">AX6/$AU$52</f>
        <v>#DIV/0!</v>
      </c>
    </row>
    <row r="7" spans="1:51" ht="15" customHeight="1" x14ac:dyDescent="0.5">
      <c r="A7" s="445"/>
      <c r="B7" s="445" t="s">
        <v>822</v>
      </c>
      <c r="C7" s="184"/>
      <c r="D7" s="2"/>
      <c r="E7" s="2"/>
      <c r="F7" s="2"/>
      <c r="G7" s="2"/>
      <c r="H7" s="2"/>
      <c r="I7" s="443"/>
      <c r="J7" s="1605"/>
      <c r="K7" s="1602"/>
      <c r="L7" s="1609"/>
      <c r="O7" s="322" t="s">
        <v>148</v>
      </c>
      <c r="P7" s="2"/>
      <c r="Q7" s="2"/>
      <c r="R7" s="2"/>
      <c r="AL7" s="2" t="s">
        <v>252</v>
      </c>
      <c r="AM7" s="243">
        <f>IF('Bilan complet'!AU7=0,0,'Bilan complet'!DD31/'Bilan complet'!AU7)</f>
        <v>0</v>
      </c>
      <c r="AN7" s="243"/>
      <c r="AO7" s="2"/>
      <c r="AT7" s="354" t="s">
        <v>9</v>
      </c>
      <c r="AU7" s="351">
        <f>Exploitation!K4</f>
        <v>0</v>
      </c>
      <c r="AW7" s="372" t="s">
        <v>825</v>
      </c>
      <c r="AX7" s="375">
        <f>'Charges ovin'!C4+'Charges ovin'!C7*Calcule!AU21+'Bilan complet'!DL9+'Bilan complet'!DL10+'Bilan complet'!DL11</f>
        <v>0</v>
      </c>
      <c r="AY7" s="372" t="e">
        <f>AX7/$AU$52</f>
        <v>#DIV/0!</v>
      </c>
    </row>
    <row r="8" spans="1:51" ht="18.600000000000001" thickBot="1" x14ac:dyDescent="0.55000000000000004">
      <c r="A8" s="445"/>
      <c r="B8" s="445" t="s">
        <v>823</v>
      </c>
      <c r="C8" s="184"/>
      <c r="D8" s="2"/>
      <c r="E8" s="2"/>
      <c r="F8" s="2"/>
      <c r="G8" s="2"/>
      <c r="H8" s="2"/>
      <c r="I8" s="443"/>
      <c r="J8" s="1606"/>
      <c r="K8" s="1603"/>
      <c r="L8" s="1610"/>
      <c r="O8" s="322" t="s">
        <v>815</v>
      </c>
      <c r="P8" s="2"/>
      <c r="Q8" s="2"/>
      <c r="R8" s="2"/>
      <c r="AL8" s="2"/>
      <c r="AM8" s="243"/>
      <c r="AN8" s="243">
        <f>IF('Bilan complet'!AU7=0,0,'Bilan complet'!DG48/'Bilan complet'!AU7)</f>
        <v>0</v>
      </c>
      <c r="AO8" s="2" t="s">
        <v>533</v>
      </c>
      <c r="AT8" s="354" t="s">
        <v>11</v>
      </c>
      <c r="AU8" s="351">
        <f>Exploitation!K5</f>
        <v>0</v>
      </c>
      <c r="AW8" s="372" t="s">
        <v>826</v>
      </c>
      <c r="AX8" s="375">
        <f>'Bilan complet'!DL12+'Bilan complet'!DL13+'Bilan complet'!DL14</f>
        <v>0</v>
      </c>
      <c r="AY8" s="373" t="e">
        <f t="shared" si="3"/>
        <v>#DIV/0!</v>
      </c>
    </row>
    <row r="9" spans="1:51" ht="18" x14ac:dyDescent="0.5">
      <c r="A9" s="455" t="s">
        <v>131</v>
      </c>
      <c r="B9" s="455" t="s">
        <v>819</v>
      </c>
      <c r="C9" s="181"/>
      <c r="D9" s="182"/>
      <c r="E9" s="182"/>
      <c r="F9" s="182"/>
      <c r="G9" s="182"/>
      <c r="H9" s="182"/>
      <c r="I9" s="600"/>
      <c r="J9" s="1604" t="str">
        <f t="shared" ref="J9" si="4">IF(I9=0,"",I10/I9)</f>
        <v/>
      </c>
      <c r="K9" s="1601">
        <f t="shared" ref="K9" si="5">IF(I9=0,0,I11/I9)</f>
        <v>0</v>
      </c>
      <c r="L9" s="1608">
        <f t="shared" ref="L9" si="6">IF(I10=0,0,I11/I10)</f>
        <v>0</v>
      </c>
      <c r="AL9" s="2"/>
      <c r="AM9" s="243"/>
      <c r="AN9" s="243">
        <f>IF('Bilan complet'!AU7=0,0,'Bilan complet'!DL6/'Bilan complet'!AU7)</f>
        <v>0</v>
      </c>
      <c r="AO9" s="2" t="s">
        <v>383</v>
      </c>
      <c r="AT9" s="354" t="s">
        <v>827</v>
      </c>
      <c r="AU9" s="351">
        <f>Exploitation!B18</f>
        <v>0</v>
      </c>
      <c r="AW9" s="374" t="s">
        <v>458</v>
      </c>
      <c r="AX9" s="375">
        <f>SUM(AX10:AX12)</f>
        <v>0</v>
      </c>
      <c r="AY9" s="373" t="e">
        <f t="shared" si="3"/>
        <v>#DIV/0!</v>
      </c>
    </row>
    <row r="10" spans="1:51" ht="18" x14ac:dyDescent="0.5">
      <c r="A10" s="445"/>
      <c r="B10" s="445" t="s">
        <v>822</v>
      </c>
      <c r="C10" s="184"/>
      <c r="D10" s="2"/>
      <c r="E10" s="2"/>
      <c r="F10" s="2"/>
      <c r="G10" s="2"/>
      <c r="H10" s="2"/>
      <c r="I10" s="443"/>
      <c r="J10" s="1605"/>
      <c r="K10" s="1602"/>
      <c r="L10" s="1609"/>
      <c r="AL10" s="2"/>
      <c r="AM10" s="243"/>
      <c r="AN10" s="243">
        <f>IF('Bilan complet'!AU7=0,0,'Bilan complet'!DL15/'Bilan complet'!AU7)</f>
        <v>0</v>
      </c>
      <c r="AO10" s="2" t="s">
        <v>384</v>
      </c>
      <c r="AT10" s="354" t="s">
        <v>828</v>
      </c>
      <c r="AU10" s="2">
        <f>Exploitation!B20</f>
        <v>0</v>
      </c>
      <c r="AW10" s="372" t="s">
        <v>459</v>
      </c>
      <c r="AX10" s="375">
        <f>'Bilan complet'!DL33</f>
        <v>0</v>
      </c>
      <c r="AY10" s="373" t="e">
        <f t="shared" si="3"/>
        <v>#DIV/0!</v>
      </c>
    </row>
    <row r="11" spans="1:51" ht="18" customHeight="1" thickBot="1" x14ac:dyDescent="0.55000000000000004">
      <c r="A11" s="445"/>
      <c r="B11" s="445" t="s">
        <v>823</v>
      </c>
      <c r="C11" s="184"/>
      <c r="D11" s="2"/>
      <c r="E11" s="2"/>
      <c r="F11" s="2"/>
      <c r="G11" s="2"/>
      <c r="H11" s="2"/>
      <c r="I11" s="443"/>
      <c r="J11" s="1606"/>
      <c r="K11" s="1603"/>
      <c r="L11" s="1610"/>
      <c r="O11" s="460" t="s">
        <v>819</v>
      </c>
      <c r="P11" s="2"/>
      <c r="Q11" s="2"/>
      <c r="R11" s="2"/>
      <c r="S11" s="2"/>
      <c r="T11" s="2"/>
      <c r="U11" s="2"/>
      <c r="V11" s="2"/>
      <c r="AL11" s="2"/>
      <c r="AM11" s="243"/>
      <c r="AN11" s="243">
        <f>IF('Bilan complet'!AU7=0,0,'Bilan complet'!DL21/'Bilan complet'!AU7)</f>
        <v>0</v>
      </c>
      <c r="AO11" s="2" t="s">
        <v>173</v>
      </c>
      <c r="AT11" s="2" t="s">
        <v>829</v>
      </c>
      <c r="AU11" s="2">
        <f>0.15*' Elevage'!P3</f>
        <v>0</v>
      </c>
      <c r="AW11" s="372" t="s">
        <v>460</v>
      </c>
      <c r="AX11" s="375">
        <f>'Bilan complet'!DL34</f>
        <v>0</v>
      </c>
      <c r="AY11" s="373" t="e">
        <f t="shared" si="3"/>
        <v>#DIV/0!</v>
      </c>
    </row>
    <row r="12" spans="1:51" ht="18" customHeight="1" x14ac:dyDescent="0.5">
      <c r="A12" s="455" t="s">
        <v>130</v>
      </c>
      <c r="B12" s="455" t="s">
        <v>819</v>
      </c>
      <c r="C12" s="181"/>
      <c r="D12" s="182"/>
      <c r="E12" s="182"/>
      <c r="F12" s="182"/>
      <c r="G12" s="182"/>
      <c r="H12" s="182"/>
      <c r="I12" s="600"/>
      <c r="J12" s="1604" t="str">
        <f t="shared" ref="J12" si="7">IF(I12=0,"",I13/I12)</f>
        <v/>
      </c>
      <c r="K12" s="1601">
        <f>IF(I12=0,0,I14/I12)</f>
        <v>0</v>
      </c>
      <c r="L12" s="1608">
        <f t="shared" ref="L12" si="8">IF(I13=0,0,I14/I13)</f>
        <v>0</v>
      </c>
      <c r="O12" s="2"/>
      <c r="P12" s="2" t="s">
        <v>139</v>
      </c>
      <c r="Q12" s="2" t="s">
        <v>103</v>
      </c>
      <c r="R12" s="2" t="s">
        <v>104</v>
      </c>
      <c r="S12" s="2" t="s">
        <v>105</v>
      </c>
      <c r="T12" s="2" t="s">
        <v>106</v>
      </c>
      <c r="U12" s="2" t="s">
        <v>146</v>
      </c>
      <c r="V12" s="2" t="s">
        <v>815</v>
      </c>
      <c r="AL12" s="2"/>
      <c r="AM12" s="243"/>
      <c r="AN12" s="243">
        <f>IF('Bilan complet'!AU7=0,0,'Bilan complet'!DL23/'Bilan complet'!AU7)</f>
        <v>0</v>
      </c>
      <c r="AO12" s="2" t="s">
        <v>796</v>
      </c>
      <c r="AT12" s="354" t="s">
        <v>12</v>
      </c>
      <c r="AU12" s="351">
        <f>Exploitation!K6</f>
        <v>0</v>
      </c>
      <c r="AW12" s="372" t="s">
        <v>461</v>
      </c>
      <c r="AX12" s="375">
        <f>'Bilan complet'!DL36+'Bilan complet'!DL37+'Bilan complet'!DL38+'Bilan complet'!DL39</f>
        <v>0</v>
      </c>
      <c r="AY12" s="373" t="e">
        <f t="shared" si="3"/>
        <v>#DIV/0!</v>
      </c>
    </row>
    <row r="13" spans="1:51" ht="18" customHeight="1" x14ac:dyDescent="0.5">
      <c r="A13" s="445"/>
      <c r="B13" s="445" t="s">
        <v>822</v>
      </c>
      <c r="C13" s="184"/>
      <c r="D13" s="2"/>
      <c r="E13" s="2"/>
      <c r="F13" s="2"/>
      <c r="G13" s="2"/>
      <c r="H13" s="2"/>
      <c r="I13" s="443"/>
      <c r="J13" s="1605"/>
      <c r="K13" s="1602"/>
      <c r="L13" s="1609"/>
      <c r="O13" s="322" t="s">
        <v>148</v>
      </c>
      <c r="P13" s="2"/>
      <c r="Q13" s="2"/>
      <c r="R13" s="2"/>
      <c r="S13" s="2"/>
      <c r="T13" s="2"/>
      <c r="U13" s="2"/>
      <c r="V13" s="2"/>
      <c r="AL13" s="2"/>
      <c r="AM13" s="243"/>
      <c r="AN13" s="243">
        <f>IF('Bilan complet'!AU7=0,0,'Bilan complet'!DL25/'Bilan complet'!AU7)</f>
        <v>0</v>
      </c>
      <c r="AO13" s="2" t="s">
        <v>603</v>
      </c>
      <c r="AT13" s="354" t="s">
        <v>830</v>
      </c>
      <c r="AU13" s="351">
        <f>Exploitation!K8</f>
        <v>0</v>
      </c>
      <c r="AW13" s="374" t="s">
        <v>462</v>
      </c>
      <c r="AX13" s="375">
        <f>SUM(AX14:AX16)</f>
        <v>0</v>
      </c>
      <c r="AY13" s="373" t="e">
        <f t="shared" si="3"/>
        <v>#DIV/0!</v>
      </c>
    </row>
    <row r="14" spans="1:51" ht="18.600000000000001" thickBot="1" x14ac:dyDescent="0.55000000000000004">
      <c r="A14" s="445"/>
      <c r="B14" s="445" t="s">
        <v>823</v>
      </c>
      <c r="C14" s="184"/>
      <c r="D14" s="2"/>
      <c r="E14" s="2"/>
      <c r="F14" s="2"/>
      <c r="G14" s="2"/>
      <c r="H14" s="2"/>
      <c r="I14" s="443"/>
      <c r="J14" s="1606"/>
      <c r="K14" s="1603"/>
      <c r="L14" s="1610"/>
      <c r="O14" s="322" t="s">
        <v>140</v>
      </c>
      <c r="P14" s="2"/>
      <c r="Q14" s="2"/>
      <c r="R14" s="2"/>
      <c r="S14" s="2"/>
      <c r="T14" s="2"/>
      <c r="U14" s="2"/>
      <c r="V14" s="2"/>
      <c r="AL14" s="2"/>
      <c r="AM14" s="243"/>
      <c r="AN14" s="243">
        <f>IF('Bilan complet'!AU7=0,0,'Bilan complet'!DL27/'Bilan complet'!AU7)</f>
        <v>0</v>
      </c>
      <c r="AO14" s="2" t="s">
        <v>186</v>
      </c>
      <c r="AT14" s="354" t="s">
        <v>831</v>
      </c>
      <c r="AU14" s="351">
        <f>Exploitation!K7</f>
        <v>0</v>
      </c>
      <c r="AW14" s="372" t="s">
        <v>463</v>
      </c>
      <c r="AX14" s="375">
        <f>'Bilan complet'!DL21</f>
        <v>0</v>
      </c>
      <c r="AY14" s="373" t="e">
        <f t="shared" si="3"/>
        <v>#DIV/0!</v>
      </c>
    </row>
    <row r="15" spans="1:51" ht="18" x14ac:dyDescent="0.5">
      <c r="A15" s="455" t="s">
        <v>136</v>
      </c>
      <c r="B15" s="455" t="s">
        <v>819</v>
      </c>
      <c r="C15" s="181"/>
      <c r="D15" s="182"/>
      <c r="E15" s="182"/>
      <c r="F15" s="182"/>
      <c r="G15" s="182"/>
      <c r="H15" s="182"/>
      <c r="I15" s="600"/>
      <c r="J15" s="1604" t="str">
        <f t="shared" ref="J15" si="9">IF(I15=0,"",I16/I15)</f>
        <v/>
      </c>
      <c r="K15" s="1601">
        <f t="shared" ref="K15" si="10">IF(I15=0,0,I17/I15)</f>
        <v>0</v>
      </c>
      <c r="L15" s="1608">
        <f t="shared" ref="L15" si="11">IF(I16=0,0,I17/I16)</f>
        <v>0</v>
      </c>
      <c r="O15" s="322" t="s">
        <v>147</v>
      </c>
      <c r="P15" s="2"/>
      <c r="Q15" s="2"/>
      <c r="R15" s="2"/>
      <c r="S15" s="2"/>
      <c r="T15" s="2"/>
      <c r="U15" s="2"/>
      <c r="V15" s="2"/>
      <c r="AL15" s="2"/>
      <c r="AM15" s="243"/>
      <c r="AN15" s="243">
        <f>IF('Bilan complet'!AU7=0,0,'Bilan complet'!DL31/'Bilan complet'!AU7)</f>
        <v>0</v>
      </c>
      <c r="AO15" s="2" t="s">
        <v>593</v>
      </c>
      <c r="AT15" s="354" t="s">
        <v>832</v>
      </c>
      <c r="AU15" s="351">
        <f>Exploitation!K9</f>
        <v>0</v>
      </c>
      <c r="AW15" s="372" t="s">
        <v>690</v>
      </c>
      <c r="AX15" s="375">
        <f>-'Bilan complet'!DD11</f>
        <v>0</v>
      </c>
      <c r="AY15" s="372" t="e">
        <f t="shared" si="3"/>
        <v>#DIV/0!</v>
      </c>
    </row>
    <row r="16" spans="1:51" ht="18" x14ac:dyDescent="0.5">
      <c r="A16" s="445"/>
      <c r="B16" s="445" t="s">
        <v>822</v>
      </c>
      <c r="C16" s="184"/>
      <c r="D16" s="2"/>
      <c r="E16" s="2"/>
      <c r="F16" s="2"/>
      <c r="G16" s="2"/>
      <c r="H16" s="2"/>
      <c r="I16" s="443"/>
      <c r="J16" s="1605"/>
      <c r="K16" s="1602"/>
      <c r="L16" s="1609"/>
      <c r="O16" s="322" t="s">
        <v>815</v>
      </c>
      <c r="P16" s="2"/>
      <c r="Q16" s="2"/>
      <c r="R16" s="2"/>
      <c r="S16" s="2"/>
      <c r="T16" s="2"/>
      <c r="U16" s="2"/>
      <c r="V16" s="2"/>
      <c r="AL16" s="2"/>
      <c r="AM16" s="2" t="s">
        <v>833</v>
      </c>
      <c r="AN16" s="2" t="s">
        <v>834</v>
      </c>
      <c r="AO16" s="2"/>
      <c r="AT16" s="2" t="s">
        <v>835</v>
      </c>
      <c r="AU16" s="146">
        <f>Exploitation!E28</f>
        <v>0</v>
      </c>
      <c r="AW16" s="372" t="s">
        <v>464</v>
      </c>
      <c r="AX16" s="375">
        <f>'Bilan complet'!DL15</f>
        <v>0</v>
      </c>
      <c r="AY16" s="373" t="e">
        <f t="shared" si="3"/>
        <v>#DIV/0!</v>
      </c>
    </row>
    <row r="17" spans="1:51" ht="18.600000000000001" thickBot="1" x14ac:dyDescent="0.55000000000000004">
      <c r="A17" s="445"/>
      <c r="B17" s="445" t="s">
        <v>823</v>
      </c>
      <c r="C17" s="184"/>
      <c r="D17" s="2"/>
      <c r="E17" s="2"/>
      <c r="F17" s="2"/>
      <c r="G17" s="2"/>
      <c r="H17" s="2"/>
      <c r="I17" s="443"/>
      <c r="J17" s="1606"/>
      <c r="K17" s="1603"/>
      <c r="L17" s="1610"/>
      <c r="AT17" s="354" t="s">
        <v>22</v>
      </c>
      <c r="AU17" s="355">
        <f>Exploitation!K11</f>
        <v>0</v>
      </c>
      <c r="AW17" s="374" t="s">
        <v>836</v>
      </c>
      <c r="AX17" s="375" t="e">
        <f>SUM(AX18:AX20)</f>
        <v>#N/A</v>
      </c>
      <c r="AY17" s="373" t="e">
        <f t="shared" si="3"/>
        <v>#N/A</v>
      </c>
    </row>
    <row r="18" spans="1:51" ht="18" x14ac:dyDescent="0.5">
      <c r="A18" s="455" t="s">
        <v>135</v>
      </c>
      <c r="B18" s="455" t="s">
        <v>819</v>
      </c>
      <c r="C18" s="181"/>
      <c r="D18" s="182"/>
      <c r="E18" s="182"/>
      <c r="F18" s="182"/>
      <c r="G18" s="182"/>
      <c r="H18" s="182"/>
      <c r="I18" s="600"/>
      <c r="J18" s="1604" t="str">
        <f t="shared" ref="J18" si="12">IF(I18=0,"",I19/I18)</f>
        <v/>
      </c>
      <c r="K18" s="1601">
        <f t="shared" ref="K18" si="13">IF(I18=0,0,I20/I18)</f>
        <v>0</v>
      </c>
      <c r="L18" s="1608">
        <f t="shared" ref="L18" si="14">IF(I19=0,0,I20/I19)</f>
        <v>0</v>
      </c>
      <c r="O18" s="24" t="s">
        <v>837</v>
      </c>
      <c r="P18" s="24" t="s">
        <v>838</v>
      </c>
      <c r="AT18" s="354" t="s">
        <v>20</v>
      </c>
      <c r="AU18" s="355">
        <f>Exploitation!K10</f>
        <v>0</v>
      </c>
      <c r="AW18" s="372" t="s">
        <v>466</v>
      </c>
      <c r="AX18" s="375" t="e">
        <f>'Bilan complet'!EJ15*Calcule!AU22</f>
        <v>#N/A</v>
      </c>
      <c r="AY18" s="373" t="e">
        <f t="shared" si="3"/>
        <v>#N/A</v>
      </c>
    </row>
    <row r="19" spans="1:51" ht="18" x14ac:dyDescent="0.5">
      <c r="A19" s="445"/>
      <c r="B19" s="445" t="s">
        <v>822</v>
      </c>
      <c r="C19" s="184"/>
      <c r="D19" s="2"/>
      <c r="E19" s="2"/>
      <c r="F19" s="2"/>
      <c r="G19" s="2"/>
      <c r="H19" s="2"/>
      <c r="I19" s="443"/>
      <c r="J19" s="1605"/>
      <c r="K19" s="1602"/>
      <c r="L19" s="1609"/>
      <c r="O19" s="477" t="s">
        <v>839</v>
      </c>
      <c r="P19" s="458" t="s">
        <v>129</v>
      </c>
      <c r="Q19" s="458" t="s">
        <v>132</v>
      </c>
      <c r="R19" s="458" t="s">
        <v>131</v>
      </c>
      <c r="S19" s="458" t="s">
        <v>130</v>
      </c>
      <c r="T19" s="458" t="s">
        <v>815</v>
      </c>
      <c r="AL19" s="1612" t="s">
        <v>820</v>
      </c>
      <c r="AM19" s="1612"/>
      <c r="AN19" s="1612"/>
      <c r="AO19" s="1612"/>
      <c r="AT19" s="354" t="s">
        <v>840</v>
      </c>
      <c r="AU19" s="355">
        <f>Exploitation!K12</f>
        <v>0</v>
      </c>
      <c r="AW19" s="372" t="s">
        <v>467</v>
      </c>
      <c r="AX19" s="375" t="e">
        <f>'Bilan complet'!EJ12*Calcule!AU22</f>
        <v>#N/A</v>
      </c>
      <c r="AY19" s="373" t="e">
        <f t="shared" si="3"/>
        <v>#N/A</v>
      </c>
    </row>
    <row r="20" spans="1:51" ht="18.600000000000001" thickBot="1" x14ac:dyDescent="0.55000000000000004">
      <c r="A20" s="445"/>
      <c r="B20" s="445" t="s">
        <v>823</v>
      </c>
      <c r="C20" s="184"/>
      <c r="D20" s="2"/>
      <c r="E20" s="2"/>
      <c r="F20" s="2"/>
      <c r="G20" s="2"/>
      <c r="H20" s="2"/>
      <c r="I20" s="443"/>
      <c r="J20" s="1606"/>
      <c r="K20" s="1603"/>
      <c r="L20" s="1610"/>
      <c r="O20" s="470" t="s">
        <v>103</v>
      </c>
      <c r="P20" s="372"/>
      <c r="Q20" s="372"/>
      <c r="R20" s="372"/>
      <c r="S20" s="372"/>
      <c r="T20" s="372"/>
      <c r="AL20" s="2" t="s">
        <v>841</v>
      </c>
      <c r="AM20" s="243">
        <f>'Bilan complet'!DD40</f>
        <v>0</v>
      </c>
      <c r="AN20" s="243"/>
      <c r="AO20" s="2"/>
      <c r="AT20" s="2" t="s">
        <v>842</v>
      </c>
      <c r="AU20" s="146">
        <f>Exploitation!E17+Exploitation!E27+Exploitation!E22</f>
        <v>0</v>
      </c>
      <c r="AW20" s="372" t="s">
        <v>843</v>
      </c>
      <c r="AX20" s="375">
        <f>'Bilan complet'!EJ13</f>
        <v>0</v>
      </c>
      <c r="AY20" s="373" t="e">
        <f t="shared" si="3"/>
        <v>#DIV/0!</v>
      </c>
    </row>
    <row r="21" spans="1:51" ht="18" x14ac:dyDescent="0.5">
      <c r="A21" s="455" t="s">
        <v>133</v>
      </c>
      <c r="B21" s="455" t="s">
        <v>819</v>
      </c>
      <c r="C21" s="181"/>
      <c r="D21" s="182"/>
      <c r="E21" s="182"/>
      <c r="F21" s="182"/>
      <c r="G21" s="182"/>
      <c r="H21" s="182"/>
      <c r="I21" s="600"/>
      <c r="J21" s="1604" t="str">
        <f t="shared" ref="J21" si="15">IF(I21=0,"",I22/I21)</f>
        <v/>
      </c>
      <c r="K21" s="1601">
        <f t="shared" ref="K21" si="16">IF(I21=0,0,I23/I21)</f>
        <v>0</v>
      </c>
      <c r="L21" s="1608">
        <f t="shared" ref="L21" si="17">IF(I22=0,0,I23/I22)</f>
        <v>0</v>
      </c>
      <c r="O21" s="470" t="s">
        <v>104</v>
      </c>
      <c r="P21" s="372"/>
      <c r="Q21" s="372"/>
      <c r="R21" s="372"/>
      <c r="S21" s="372"/>
      <c r="T21" s="372"/>
      <c r="AL21" s="2" t="s">
        <v>389</v>
      </c>
      <c r="AM21" s="243"/>
      <c r="AN21" s="243">
        <f>'Bilan complet'!DG48</f>
        <v>0</v>
      </c>
      <c r="AT21" s="354" t="s">
        <v>844</v>
      </c>
      <c r="AU21" s="356">
        <f>Exploitation!K13</f>
        <v>0</v>
      </c>
      <c r="AW21" s="374" t="s">
        <v>845</v>
      </c>
      <c r="AX21" s="375" t="e">
        <f>SUM(AX22:AX24)</f>
        <v>#N/A</v>
      </c>
      <c r="AY21" s="373" t="e">
        <f t="shared" si="3"/>
        <v>#N/A</v>
      </c>
    </row>
    <row r="22" spans="1:51" ht="18" x14ac:dyDescent="0.5">
      <c r="A22" s="445"/>
      <c r="B22" s="445" t="s">
        <v>822</v>
      </c>
      <c r="C22" s="184"/>
      <c r="D22" s="2"/>
      <c r="E22" s="2"/>
      <c r="F22" s="2"/>
      <c r="G22" s="2"/>
      <c r="H22" s="2"/>
      <c r="I22" s="443"/>
      <c r="J22" s="1605"/>
      <c r="K22" s="1602"/>
      <c r="L22" s="1609"/>
      <c r="O22" s="470" t="s">
        <v>105</v>
      </c>
      <c r="P22" s="372"/>
      <c r="Q22" s="372"/>
      <c r="R22" s="372"/>
      <c r="S22" s="372"/>
      <c r="T22" s="372"/>
      <c r="AL22" s="2" t="s">
        <v>846</v>
      </c>
      <c r="AM22" s="243"/>
      <c r="AN22" s="243">
        <f>'Bilan complet'!$DL40</f>
        <v>0</v>
      </c>
      <c r="AT22" s="245" t="s">
        <v>847</v>
      </c>
      <c r="AU22" s="357" t="e">
        <f>AU28/AU27</f>
        <v>#N/A</v>
      </c>
      <c r="AW22" s="372" t="s">
        <v>470</v>
      </c>
      <c r="AX22" s="375" t="e">
        <f>'Bilan complet'!EJ36*Calcule!AU29</f>
        <v>#N/A</v>
      </c>
      <c r="AY22" s="373" t="e">
        <f t="shared" si="3"/>
        <v>#N/A</v>
      </c>
    </row>
    <row r="23" spans="1:51" ht="18.600000000000001" thickBot="1" x14ac:dyDescent="0.55000000000000004">
      <c r="A23" s="445"/>
      <c r="B23" s="445" t="s">
        <v>823</v>
      </c>
      <c r="C23" s="184"/>
      <c r="D23" s="2"/>
      <c r="E23" s="2"/>
      <c r="F23" s="2"/>
      <c r="G23" s="2"/>
      <c r="H23" s="2"/>
      <c r="I23" s="443"/>
      <c r="J23" s="1606"/>
      <c r="K23" s="1603"/>
      <c r="L23" s="1610"/>
      <c r="O23" s="470" t="s">
        <v>106</v>
      </c>
      <c r="P23" s="372"/>
      <c r="Q23" s="372"/>
      <c r="R23" s="372"/>
      <c r="S23" s="372"/>
      <c r="T23" s="372"/>
      <c r="AL23" s="2"/>
      <c r="AM23" s="2" t="s">
        <v>833</v>
      </c>
      <c r="AN23" s="2" t="s">
        <v>834</v>
      </c>
      <c r="AO23" s="2"/>
      <c r="AT23" s="2" t="s">
        <v>848</v>
      </c>
      <c r="AU23" s="353" t="e">
        <f>VLOOKUP(AU5,Références!$S$4:$X$42,2,FALSE)</f>
        <v>#N/A</v>
      </c>
      <c r="AW23" s="372" t="s">
        <v>471</v>
      </c>
      <c r="AX23" s="375" t="e">
        <f>'Bilan complet'!EJ37*Calcule!AU29</f>
        <v>#N/A</v>
      </c>
      <c r="AY23" s="373" t="e">
        <f t="shared" si="3"/>
        <v>#N/A</v>
      </c>
    </row>
    <row r="24" spans="1:51" ht="18" x14ac:dyDescent="0.5">
      <c r="A24" s="455" t="s">
        <v>134</v>
      </c>
      <c r="B24" s="455" t="s">
        <v>819</v>
      </c>
      <c r="C24" s="181"/>
      <c r="D24" s="182"/>
      <c r="E24" s="182"/>
      <c r="F24" s="182"/>
      <c r="G24" s="182"/>
      <c r="H24" s="182"/>
      <c r="I24" s="600"/>
      <c r="J24" s="1604" t="str">
        <f t="shared" ref="J24" si="18">IF(I24=0,"",I25/I24)</f>
        <v/>
      </c>
      <c r="K24" s="1601">
        <f t="shared" ref="K24" si="19">IF(I24=0,0,I26/I24)</f>
        <v>0</v>
      </c>
      <c r="L24" s="1608">
        <f t="shared" ref="L24" si="20">IF(I25=0,0,I26/I25)</f>
        <v>0</v>
      </c>
      <c r="O24" s="470" t="s">
        <v>146</v>
      </c>
      <c r="P24" s="372"/>
      <c r="Q24" s="372"/>
      <c r="R24" s="372"/>
      <c r="S24" s="372"/>
      <c r="T24" s="372"/>
      <c r="AT24" s="2" t="s">
        <v>849</v>
      </c>
      <c r="AU24" s="353" t="e">
        <f>VLOOKUP(AU6,Références!$S$4:$X$42,2,FALSE)</f>
        <v>#N/A</v>
      </c>
      <c r="AW24" s="372" t="s">
        <v>472</v>
      </c>
      <c r="AX24" s="375" t="e">
        <f>'Bilan complet'!EJ16*AU29</f>
        <v>#N/A</v>
      </c>
      <c r="AY24" s="373" t="e">
        <f t="shared" si="3"/>
        <v>#N/A</v>
      </c>
    </row>
    <row r="25" spans="1:51" ht="18" x14ac:dyDescent="0.5">
      <c r="A25" s="445"/>
      <c r="B25" s="445" t="s">
        <v>822</v>
      </c>
      <c r="C25" s="184"/>
      <c r="D25" s="2"/>
      <c r="E25" s="2"/>
      <c r="F25" s="2"/>
      <c r="G25" s="2"/>
      <c r="H25" s="2"/>
      <c r="I25" s="443"/>
      <c r="J25" s="1605"/>
      <c r="K25" s="1602"/>
      <c r="L25" s="1609"/>
      <c r="O25" s="470" t="s">
        <v>815</v>
      </c>
      <c r="P25" s="372"/>
      <c r="Q25" s="372"/>
      <c r="R25" s="372"/>
      <c r="S25" s="372"/>
      <c r="T25" s="372"/>
      <c r="AL25" s="1612" t="s">
        <v>850</v>
      </c>
      <c r="AM25" s="1612"/>
      <c r="AT25" s="2" t="s">
        <v>851</v>
      </c>
      <c r="AU25" s="353" t="e">
        <f>VLOOKUP(AU7,Références!$S$4:$X$42,2,FALSE)</f>
        <v>#N/A</v>
      </c>
      <c r="AW25" s="374" t="s">
        <v>476</v>
      </c>
      <c r="AX25" s="375" t="e">
        <f>AX26</f>
        <v>#N/A</v>
      </c>
      <c r="AY25" s="373" t="e">
        <f t="shared" si="3"/>
        <v>#N/A</v>
      </c>
    </row>
    <row r="26" spans="1:51" ht="18.600000000000001" thickBot="1" x14ac:dyDescent="0.55000000000000004">
      <c r="A26" s="445"/>
      <c r="B26" s="445" t="s">
        <v>823</v>
      </c>
      <c r="C26" s="184"/>
      <c r="D26" s="2"/>
      <c r="E26" s="2"/>
      <c r="F26" s="2"/>
      <c r="G26" s="2"/>
      <c r="H26" s="2"/>
      <c r="I26" s="443"/>
      <c r="J26" s="1606"/>
      <c r="K26" s="1603"/>
      <c r="L26" s="1610"/>
      <c r="AL26" s="2"/>
      <c r="AM26" s="2" t="s">
        <v>852</v>
      </c>
      <c r="AT26" s="2" t="s">
        <v>853</v>
      </c>
      <c r="AU26" s="353" t="e">
        <f>VLOOKUP(AU8,Références!$S$4:$X$42,2,FALSE)</f>
        <v>#N/A</v>
      </c>
      <c r="AW26" s="372" t="s">
        <v>854</v>
      </c>
      <c r="AX26" s="375" t="e">
        <f>('Bilan complet'!EJ20+'Bilan complet'!EJ33+'Bilan complet'!EJ34+'Bilan complet'!EJ35+'Bilan complet'!EJ38)*Calcule!AU43</f>
        <v>#N/A</v>
      </c>
      <c r="AY26" s="373" t="e">
        <f t="shared" si="3"/>
        <v>#N/A</v>
      </c>
    </row>
    <row r="27" spans="1:51" ht="18" x14ac:dyDescent="0.5">
      <c r="A27" s="455" t="s">
        <v>137</v>
      </c>
      <c r="B27" s="455" t="s">
        <v>819</v>
      </c>
      <c r="C27" s="181"/>
      <c r="D27" s="182"/>
      <c r="E27" s="182"/>
      <c r="F27" s="182"/>
      <c r="G27" s="182"/>
      <c r="H27" s="182"/>
      <c r="I27" s="600"/>
      <c r="J27" s="1604" t="str">
        <f t="shared" ref="J27" si="21">IF(I27=0,"",I28/I27)</f>
        <v/>
      </c>
      <c r="K27" s="1601">
        <f t="shared" ref="K27" si="22">IF(I27=0,0,I29/I27)</f>
        <v>0</v>
      </c>
      <c r="L27" s="1608">
        <f t="shared" ref="L27" si="23">IF(I28=0,0,I29/I28)</f>
        <v>0</v>
      </c>
      <c r="AL27" s="459" t="s">
        <v>129</v>
      </c>
      <c r="AM27" s="356">
        <f>K3</f>
        <v>0</v>
      </c>
      <c r="AT27" s="2" t="s">
        <v>855</v>
      </c>
      <c r="AU27" s="353" t="e">
        <f>AU23*AU$11+AU24*AU$12+AU25*Exploitation!E$28+AU26*(Exploitation!E$17+Exploitation!E$27)</f>
        <v>#N/A</v>
      </c>
      <c r="AW27" s="374" t="s">
        <v>478</v>
      </c>
      <c r="AX27" s="375" t="e">
        <f>SUM(AX28:AX29)</f>
        <v>#N/A</v>
      </c>
      <c r="AY27" s="373" t="e">
        <f t="shared" si="3"/>
        <v>#N/A</v>
      </c>
    </row>
    <row r="28" spans="1:51" ht="18" x14ac:dyDescent="0.5">
      <c r="A28" s="445"/>
      <c r="B28" s="445" t="s">
        <v>822</v>
      </c>
      <c r="C28" s="184"/>
      <c r="D28" s="2"/>
      <c r="E28" s="2"/>
      <c r="F28" s="2"/>
      <c r="G28" s="2"/>
      <c r="H28" s="2"/>
      <c r="I28" s="443"/>
      <c r="J28" s="1605"/>
      <c r="K28" s="1602"/>
      <c r="L28" s="1609"/>
      <c r="AL28" s="459" t="s">
        <v>132</v>
      </c>
      <c r="AM28" s="356">
        <f>K6</f>
        <v>0</v>
      </c>
      <c r="AT28" s="2" t="s">
        <v>856</v>
      </c>
      <c r="AU28" s="353" t="e">
        <f>AU$11*AU23+AU$14*AU$16*AU25+AU$18*AU$20*AU26</f>
        <v>#N/A</v>
      </c>
      <c r="AW28" s="372" t="s">
        <v>479</v>
      </c>
      <c r="AX28" s="375" t="e">
        <f>'Bilan complet'!EJ5*Calcule!AU36</f>
        <v>#N/A</v>
      </c>
      <c r="AY28" s="373" t="e">
        <f t="shared" si="3"/>
        <v>#N/A</v>
      </c>
    </row>
    <row r="29" spans="1:51" ht="18.600000000000001" thickBot="1" x14ac:dyDescent="0.55000000000000004">
      <c r="A29" s="445"/>
      <c r="B29" s="445" t="s">
        <v>823</v>
      </c>
      <c r="C29" s="184"/>
      <c r="D29" s="2"/>
      <c r="E29" s="2"/>
      <c r="F29" s="2"/>
      <c r="G29" s="2"/>
      <c r="H29" s="2"/>
      <c r="I29" s="443"/>
      <c r="J29" s="1606"/>
      <c r="K29" s="1603"/>
      <c r="L29" s="1610"/>
      <c r="AL29" s="459" t="s">
        <v>131</v>
      </c>
      <c r="AM29" s="356">
        <f>K9</f>
        <v>0</v>
      </c>
      <c r="AT29" s="245" t="s">
        <v>857</v>
      </c>
      <c r="AU29" s="352" t="e">
        <f>AU35/AU34</f>
        <v>#N/A</v>
      </c>
      <c r="AW29" s="372" t="s">
        <v>480</v>
      </c>
      <c r="AX29" s="375" t="e">
        <f>'Bilan complet'!EJ42*Calcule!AU36</f>
        <v>#N/A</v>
      </c>
      <c r="AY29" s="373" t="e">
        <f t="shared" si="3"/>
        <v>#N/A</v>
      </c>
    </row>
    <row r="30" spans="1:51" ht="18" x14ac:dyDescent="0.5">
      <c r="A30" s="455" t="s">
        <v>138</v>
      </c>
      <c r="B30" s="455" t="s">
        <v>819</v>
      </c>
      <c r="C30" s="181"/>
      <c r="D30" s="182"/>
      <c r="E30" s="182"/>
      <c r="F30" s="182"/>
      <c r="G30" s="182"/>
      <c r="H30" s="182"/>
      <c r="I30" s="600"/>
      <c r="J30" s="1604" t="str">
        <f t="shared" ref="J30" si="24">IF(I30=0,"",I31/I30)</f>
        <v/>
      </c>
      <c r="K30" s="1601">
        <f t="shared" ref="K30" si="25">IF(I30=0,0,I32/I30)</f>
        <v>0</v>
      </c>
      <c r="L30" s="1608">
        <f t="shared" ref="L30" si="26">IF(I31=0,0,I32/I31)</f>
        <v>0</v>
      </c>
      <c r="AL30" s="459" t="s">
        <v>130</v>
      </c>
      <c r="AM30" s="356">
        <f>K12</f>
        <v>0</v>
      </c>
      <c r="AT30" s="2" t="s">
        <v>858</v>
      </c>
      <c r="AU30" s="353" t="e">
        <f>VLOOKUP(AU5,Références!$S$4:$X$42,3,FALSE)</f>
        <v>#N/A</v>
      </c>
      <c r="AW30" s="374" t="s">
        <v>481</v>
      </c>
      <c r="AX30" s="375">
        <f>AX31</f>
        <v>0</v>
      </c>
      <c r="AY30" s="373" t="e">
        <f t="shared" si="3"/>
        <v>#DIV/0!</v>
      </c>
    </row>
    <row r="31" spans="1:51" ht="18" x14ac:dyDescent="0.5">
      <c r="A31" s="445"/>
      <c r="B31" s="445" t="s">
        <v>822</v>
      </c>
      <c r="C31" s="184"/>
      <c r="D31" s="2"/>
      <c r="E31" s="2"/>
      <c r="F31" s="2"/>
      <c r="G31" s="2"/>
      <c r="H31" s="2"/>
      <c r="I31" s="443"/>
      <c r="J31" s="1605"/>
      <c r="K31" s="1602"/>
      <c r="L31" s="1609"/>
      <c r="AL31" s="459" t="s">
        <v>136</v>
      </c>
      <c r="AM31" s="356">
        <f>K15</f>
        <v>0</v>
      </c>
      <c r="AT31" s="2" t="s">
        <v>859</v>
      </c>
      <c r="AU31" s="353" t="e">
        <f>VLOOKUP(AU6,Références!$S$4:$X$42,3,FALSE)</f>
        <v>#N/A</v>
      </c>
      <c r="AW31" s="372" t="s">
        <v>482</v>
      </c>
      <c r="AX31" s="376">
        <f>'Bilan complet'!EJ25*AU10</f>
        <v>0</v>
      </c>
      <c r="AY31" s="373" t="e">
        <f t="shared" si="3"/>
        <v>#DIV/0!</v>
      </c>
    </row>
    <row r="32" spans="1:51" ht="18.600000000000001" thickBot="1" x14ac:dyDescent="0.55000000000000004">
      <c r="A32" s="445"/>
      <c r="B32" s="445" t="s">
        <v>823</v>
      </c>
      <c r="C32" s="184"/>
      <c r="D32" s="2"/>
      <c r="E32" s="2"/>
      <c r="F32" s="2"/>
      <c r="G32" s="2"/>
      <c r="H32" s="2"/>
      <c r="I32" s="443"/>
      <c r="J32" s="1606"/>
      <c r="K32" s="1603"/>
      <c r="L32" s="1610"/>
      <c r="AL32" s="459" t="s">
        <v>135</v>
      </c>
      <c r="AM32" s="356">
        <f>K18</f>
        <v>0</v>
      </c>
      <c r="AT32" s="2" t="s">
        <v>860</v>
      </c>
      <c r="AU32" s="353" t="e">
        <f>VLOOKUP(AU7,Références!$S$4:$X$42,3,FALSE)</f>
        <v>#N/A</v>
      </c>
      <c r="AW32" s="374" t="s">
        <v>474</v>
      </c>
      <c r="AX32" s="377">
        <f>SUM(AX33:AX35)</f>
        <v>0</v>
      </c>
      <c r="AY32" s="373" t="e">
        <f t="shared" ref="AY32:AY43" si="27">AX32/$AU$52</f>
        <v>#DIV/0!</v>
      </c>
    </row>
    <row r="33" spans="1:51" ht="18" x14ac:dyDescent="0.5">
      <c r="A33" s="455" t="s">
        <v>144</v>
      </c>
      <c r="B33" s="455" t="s">
        <v>819</v>
      </c>
      <c r="C33" s="181"/>
      <c r="D33" s="182"/>
      <c r="E33" s="182"/>
      <c r="F33" s="182"/>
      <c r="G33" s="182"/>
      <c r="H33" s="182"/>
      <c r="I33" s="600"/>
      <c r="J33" s="1604" t="str">
        <f t="shared" ref="J33" si="28">IF(I33=0,"",I34/I33)</f>
        <v/>
      </c>
      <c r="K33" s="1601">
        <f t="shared" ref="K33" si="29">IF(I33=0,0,I35/I33)</f>
        <v>0</v>
      </c>
      <c r="L33" s="1608">
        <f t="shared" ref="L33" si="30">IF(I34=0,0,I35/I34)</f>
        <v>0</v>
      </c>
      <c r="AL33" s="459" t="s">
        <v>133</v>
      </c>
      <c r="AM33" s="356">
        <f>K21</f>
        <v>0</v>
      </c>
      <c r="AT33" s="2" t="s">
        <v>861</v>
      </c>
      <c r="AU33" s="353" t="e">
        <f>VLOOKUP(AU8,Références!$S$4:$X$42,3,FALSE)</f>
        <v>#N/A</v>
      </c>
      <c r="AW33" s="372" t="s">
        <v>278</v>
      </c>
      <c r="AX33" s="377">
        <f>'Bilan complet'!EJ28</f>
        <v>0</v>
      </c>
      <c r="AY33" s="373" t="e">
        <f t="shared" si="27"/>
        <v>#DIV/0!</v>
      </c>
    </row>
    <row r="34" spans="1:51" ht="18" x14ac:dyDescent="0.5">
      <c r="A34" s="445"/>
      <c r="B34" s="445" t="s">
        <v>822</v>
      </c>
      <c r="C34" s="184"/>
      <c r="D34" s="2"/>
      <c r="E34" s="2"/>
      <c r="F34" s="2"/>
      <c r="G34" s="2"/>
      <c r="H34" s="2"/>
      <c r="I34" s="443"/>
      <c r="J34" s="1605"/>
      <c r="K34" s="1602"/>
      <c r="L34" s="1609"/>
      <c r="AL34" s="459" t="s">
        <v>134</v>
      </c>
      <c r="AM34" s="356">
        <f>K24</f>
        <v>0</v>
      </c>
      <c r="AT34" s="2" t="s">
        <v>862</v>
      </c>
      <c r="AU34" s="353" t="e">
        <f>AU30*AU$11+AU31*AU$12+AU32*Exploitation!E$28+AU33*(Exploitation!E$17+Exploitation!E$27)</f>
        <v>#N/A</v>
      </c>
      <c r="AW34" s="372" t="s">
        <v>475</v>
      </c>
      <c r="AX34" s="377">
        <f>'Bilan complet'!EJ29</f>
        <v>0</v>
      </c>
      <c r="AY34" s="373" t="e">
        <f t="shared" si="27"/>
        <v>#DIV/0!</v>
      </c>
    </row>
    <row r="35" spans="1:51" ht="18.600000000000001" thickBot="1" x14ac:dyDescent="0.55000000000000004">
      <c r="A35" s="445"/>
      <c r="B35" s="445" t="s">
        <v>823</v>
      </c>
      <c r="C35" s="184"/>
      <c r="D35" s="2"/>
      <c r="E35" s="2"/>
      <c r="F35" s="2"/>
      <c r="G35" s="2"/>
      <c r="H35" s="2"/>
      <c r="I35" s="443"/>
      <c r="J35" s="1606"/>
      <c r="K35" s="1603"/>
      <c r="L35" s="1610"/>
      <c r="AL35" s="459" t="s">
        <v>137</v>
      </c>
      <c r="AM35" s="356">
        <f>K27</f>
        <v>0</v>
      </c>
      <c r="AT35" s="2" t="s">
        <v>863</v>
      </c>
      <c r="AU35" s="353" t="e">
        <f>AU$11*AU30+AU$14*AU$16*AU32+AU$18*AU$20*AU33</f>
        <v>#N/A</v>
      </c>
      <c r="AW35" s="372" t="s">
        <v>281</v>
      </c>
      <c r="AX35" s="377">
        <f>'Bilan complet'!EJ30</f>
        <v>0</v>
      </c>
      <c r="AY35" s="373" t="e">
        <f t="shared" si="27"/>
        <v>#DIV/0!</v>
      </c>
    </row>
    <row r="36" spans="1:51" ht="18" x14ac:dyDescent="0.5">
      <c r="A36" s="455" t="s">
        <v>145</v>
      </c>
      <c r="B36" s="455" t="s">
        <v>819</v>
      </c>
      <c r="C36" s="181"/>
      <c r="D36" s="182"/>
      <c r="E36" s="182"/>
      <c r="F36" s="182"/>
      <c r="G36" s="182"/>
      <c r="H36" s="182"/>
      <c r="I36" s="600"/>
      <c r="J36" s="1604" t="str">
        <f t="shared" ref="J36" si="31">IF(I36=0,"",I37/I36)</f>
        <v/>
      </c>
      <c r="K36" s="1601">
        <f t="shared" ref="K36" si="32">IF(I36=0,0,I38/I36)</f>
        <v>0</v>
      </c>
      <c r="L36" s="1608">
        <f t="shared" ref="L36" si="33">IF(I37=0,0,I38/I37)</f>
        <v>0</v>
      </c>
      <c r="AL36" s="459" t="s">
        <v>138</v>
      </c>
      <c r="AM36" s="356">
        <f>K30</f>
        <v>0</v>
      </c>
      <c r="AT36" s="245" t="s">
        <v>864</v>
      </c>
      <c r="AU36" s="352" t="e">
        <f>AU42/AU41</f>
        <v>#N/A</v>
      </c>
      <c r="AW36" s="374" t="s">
        <v>865</v>
      </c>
      <c r="AX36" s="376" t="e">
        <f>SUM(AX37:AX38)</f>
        <v>#N/A</v>
      </c>
      <c r="AY36" s="373" t="e">
        <f t="shared" si="27"/>
        <v>#N/A</v>
      </c>
    </row>
    <row r="37" spans="1:51" ht="18" x14ac:dyDescent="0.5">
      <c r="A37" s="445"/>
      <c r="B37" s="445" t="s">
        <v>822</v>
      </c>
      <c r="C37" s="184"/>
      <c r="D37" s="2"/>
      <c r="E37" s="2"/>
      <c r="F37" s="2"/>
      <c r="G37" s="2"/>
      <c r="H37" s="2"/>
      <c r="I37" s="443"/>
      <c r="J37" s="1605"/>
      <c r="K37" s="1602"/>
      <c r="L37" s="1609"/>
      <c r="AL37" s="459" t="s">
        <v>143</v>
      </c>
      <c r="AM37" s="356">
        <f>K39</f>
        <v>0</v>
      </c>
      <c r="AT37" s="2" t="s">
        <v>866</v>
      </c>
      <c r="AU37" s="353" t="e">
        <f>VLOOKUP(AU5,Références!$S$4:$X$42,4,FALSE)</f>
        <v>#N/A</v>
      </c>
      <c r="AW37" s="372" t="s">
        <v>867</v>
      </c>
      <c r="AX37" s="375" t="e">
        <f>'Bilan complet'!EJ46*AU22</f>
        <v>#N/A</v>
      </c>
      <c r="AY37" s="373" t="e">
        <f t="shared" si="27"/>
        <v>#N/A</v>
      </c>
    </row>
    <row r="38" spans="1:51" ht="18.600000000000001" thickBot="1" x14ac:dyDescent="0.55000000000000004">
      <c r="A38" s="445"/>
      <c r="B38" s="445" t="s">
        <v>823</v>
      </c>
      <c r="C38" s="184"/>
      <c r="D38" s="2"/>
      <c r="E38" s="2"/>
      <c r="F38" s="2"/>
      <c r="G38" s="2"/>
      <c r="H38" s="2"/>
      <c r="I38" s="443"/>
      <c r="J38" s="1606"/>
      <c r="K38" s="1603"/>
      <c r="L38" s="1610"/>
      <c r="AT38" s="2" t="s">
        <v>868</v>
      </c>
      <c r="AU38" s="353" t="e">
        <f>VLOOKUP(AU6,Références!$S$4:$X$42,4,FALSE)</f>
        <v>#N/A</v>
      </c>
      <c r="AW38" s="372" t="s">
        <v>473</v>
      </c>
      <c r="AX38" s="375" t="e">
        <f>'Bilan complet'!EJ47*Calcule!AU29</f>
        <v>#N/A</v>
      </c>
      <c r="AY38" s="373" t="e">
        <f t="shared" si="27"/>
        <v>#N/A</v>
      </c>
    </row>
    <row r="39" spans="1:51" ht="18" x14ac:dyDescent="0.5">
      <c r="A39" s="455" t="s">
        <v>143</v>
      </c>
      <c r="B39" s="455" t="s">
        <v>819</v>
      </c>
      <c r="C39" s="181"/>
      <c r="D39" s="182"/>
      <c r="E39" s="182"/>
      <c r="F39" s="182"/>
      <c r="G39" s="182"/>
      <c r="H39" s="182"/>
      <c r="I39" s="600"/>
      <c r="J39" s="1604" t="str">
        <f t="shared" ref="J39" si="34">IF(I39=0,"",I40/I39)</f>
        <v/>
      </c>
      <c r="K39" s="1601">
        <f t="shared" ref="K39" si="35">IF(I39=0,0,I41/I39)</f>
        <v>0</v>
      </c>
      <c r="L39" s="1608">
        <f t="shared" ref="L39" si="36">IF(I40=0,0,I41/I40)</f>
        <v>0</v>
      </c>
      <c r="AT39" s="2" t="s">
        <v>869</v>
      </c>
      <c r="AU39" s="353" t="e">
        <f>VLOOKUP(AU7,Références!$S$4:$X$42,4,FALSE)</f>
        <v>#N/A</v>
      </c>
      <c r="AW39" s="374" t="s">
        <v>870</v>
      </c>
      <c r="AX39" s="375">
        <f>AU9*AU50*2</f>
        <v>0</v>
      </c>
      <c r="AY39" s="373" t="e">
        <f t="shared" si="27"/>
        <v>#DIV/0!</v>
      </c>
    </row>
    <row r="40" spans="1:51" ht="18" customHeight="1" x14ac:dyDescent="0.5">
      <c r="A40" s="445"/>
      <c r="B40" s="445" t="s">
        <v>822</v>
      </c>
      <c r="C40" s="184"/>
      <c r="D40" s="2"/>
      <c r="E40" s="2"/>
      <c r="F40" s="2"/>
      <c r="G40" s="2"/>
      <c r="H40" s="2"/>
      <c r="I40" s="443"/>
      <c r="J40" s="1605"/>
      <c r="K40" s="1602"/>
      <c r="L40" s="1609"/>
      <c r="AL40" s="1612" t="s">
        <v>871</v>
      </c>
      <c r="AM40" s="1612"/>
      <c r="AN40" s="1612"/>
      <c r="AO40" s="1612"/>
      <c r="AT40" s="2" t="s">
        <v>872</v>
      </c>
      <c r="AU40" s="353" t="e">
        <f>VLOOKUP(AU8,Références!$S$4:$X$42,4,FALSE)</f>
        <v>#N/A</v>
      </c>
      <c r="AW40" s="374" t="s">
        <v>484</v>
      </c>
      <c r="AX40" s="375" t="e">
        <f>SUM(AX41:AX43)</f>
        <v>#DIV/0!</v>
      </c>
      <c r="AY40" s="373" t="e">
        <f t="shared" si="27"/>
        <v>#DIV/0!</v>
      </c>
    </row>
    <row r="41" spans="1:51" ht="18" customHeight="1" thickBot="1" x14ac:dyDescent="0.55000000000000004">
      <c r="A41" s="445"/>
      <c r="B41" s="445" t="s">
        <v>823</v>
      </c>
      <c r="C41" s="184"/>
      <c r="D41" s="2"/>
      <c r="E41" s="2"/>
      <c r="F41" s="2"/>
      <c r="G41" s="2"/>
      <c r="H41" s="2"/>
      <c r="I41" s="443"/>
      <c r="J41" s="1606"/>
      <c r="K41" s="1603"/>
      <c r="L41" s="1610"/>
      <c r="AL41" s="2" t="s">
        <v>527</v>
      </c>
      <c r="AM41" s="243">
        <f>'Bilan complet'!FQ4</f>
        <v>0</v>
      </c>
      <c r="AN41" s="243"/>
      <c r="AO41" s="2"/>
      <c r="AT41" s="2" t="s">
        <v>873</v>
      </c>
      <c r="AU41" s="353" t="e">
        <f>AU37*AU$11+AU38*AU$12+AU39*Exploitation!E$28+AU40*(Exploitation!E$17+Exploitation!E$27)</f>
        <v>#N/A</v>
      </c>
      <c r="AW41" s="372" t="s">
        <v>485</v>
      </c>
      <c r="AX41" s="375">
        <f>'Bilan complet'!DD8+'Bilan complet'!DD9+'Bilan complet'!DD15</f>
        <v>0</v>
      </c>
      <c r="AY41" s="373" t="e">
        <f t="shared" si="27"/>
        <v>#DIV/0!</v>
      </c>
    </row>
    <row r="42" spans="1:51" ht="18" customHeight="1" x14ac:dyDescent="0.5">
      <c r="A42" s="455" t="s">
        <v>141</v>
      </c>
      <c r="B42" s="455" t="s">
        <v>819</v>
      </c>
      <c r="C42" s="181"/>
      <c r="D42" s="182"/>
      <c r="E42" s="182"/>
      <c r="F42" s="182"/>
      <c r="G42" s="182"/>
      <c r="H42" s="182"/>
      <c r="I42" s="600"/>
      <c r="J42" s="1604" t="str">
        <f>IF(I42=0,"",I43/I42)</f>
        <v/>
      </c>
      <c r="K42" s="1601">
        <f t="shared" ref="K42" si="37">IF(I42=0,0,I44/I42)</f>
        <v>0</v>
      </c>
      <c r="L42" s="1608">
        <f t="shared" ref="L42" si="38">IF(I43=0,0,I44/I43)</f>
        <v>0</v>
      </c>
      <c r="AL42" s="2" t="s">
        <v>874</v>
      </c>
      <c r="AM42" s="243">
        <f>'Bilan complet'!FQ9</f>
        <v>0</v>
      </c>
      <c r="AN42" s="243"/>
      <c r="AO42" s="2"/>
      <c r="AT42" s="2" t="s">
        <v>875</v>
      </c>
      <c r="AU42" s="353" t="e">
        <f>AU$11*AU37+AU$14*AU$16*AU39+AU$18*AU$20*AU40</f>
        <v>#N/A</v>
      </c>
      <c r="AW42" s="372" t="s">
        <v>486</v>
      </c>
      <c r="AX42" s="375">
        <f>'Bilan complet'!DD10+'Bilan complet'!DD16+'Bilan complet'!DD17+'Bilan complet'!DD19</f>
        <v>0</v>
      </c>
      <c r="AY42" s="373" t="e">
        <f t="shared" si="27"/>
        <v>#DIV/0!</v>
      </c>
    </row>
    <row r="43" spans="1:51" ht="18" customHeight="1" x14ac:dyDescent="0.5">
      <c r="A43" s="445"/>
      <c r="B43" s="445" t="s">
        <v>822</v>
      </c>
      <c r="C43" s="184"/>
      <c r="D43" s="2"/>
      <c r="E43" s="2"/>
      <c r="F43" s="2"/>
      <c r="G43" s="2"/>
      <c r="H43" s="2"/>
      <c r="I43" s="443"/>
      <c r="J43" s="1605"/>
      <c r="K43" s="1602"/>
      <c r="L43" s="1609"/>
      <c r="AL43" s="2" t="s">
        <v>581</v>
      </c>
      <c r="AM43" s="243">
        <f>'Bilan complet'!FQ19</f>
        <v>0</v>
      </c>
      <c r="AN43" s="243"/>
      <c r="AO43" s="2"/>
      <c r="AT43" s="245" t="s">
        <v>876</v>
      </c>
      <c r="AU43" s="352" t="e">
        <f>AU49/AU48</f>
        <v>#N/A</v>
      </c>
      <c r="AW43" s="372" t="s">
        <v>487</v>
      </c>
      <c r="AX43" s="375" t="e">
        <f>'Bilan complet'!DD31+'Bilan complet'!FI48+('Bilan complet'!FI34+'Bilan complet'!FI38+'Bilan complet'!FI40+'Bilan complet'!FI42+'Bilan complet'!FI44+'Bilan complet'!FI46)*AU51</f>
        <v>#DIV/0!</v>
      </c>
      <c r="AY43" s="373" t="e">
        <f t="shared" si="27"/>
        <v>#DIV/0!</v>
      </c>
    </row>
    <row r="44" spans="1:51" ht="18.600000000000001" thickBot="1" x14ac:dyDescent="0.55000000000000004">
      <c r="A44" s="445"/>
      <c r="B44" s="445" t="s">
        <v>823</v>
      </c>
      <c r="C44" s="184"/>
      <c r="D44" s="2"/>
      <c r="E44" s="2"/>
      <c r="F44" s="2"/>
      <c r="G44" s="2"/>
      <c r="H44" s="2"/>
      <c r="I44" s="443"/>
      <c r="J44" s="1606"/>
      <c r="K44" s="1603"/>
      <c r="L44" s="1610"/>
      <c r="AL44" s="2"/>
      <c r="AM44" s="243"/>
      <c r="AN44" s="243">
        <f>'Bilan complet'!FQ24</f>
        <v>0</v>
      </c>
      <c r="AO44" s="2" t="s">
        <v>877</v>
      </c>
      <c r="AT44" s="2" t="s">
        <v>878</v>
      </c>
      <c r="AU44" s="353" t="e">
        <f>VLOOKUP(AU5,Références!$S$4:$X$42,5,FALSE)</f>
        <v>#N/A</v>
      </c>
    </row>
    <row r="45" spans="1:51" ht="18" x14ac:dyDescent="0.5">
      <c r="A45" s="2" t="s">
        <v>900</v>
      </c>
      <c r="B45" s="2" t="s">
        <v>819</v>
      </c>
      <c r="C45" s="2"/>
      <c r="D45" s="2"/>
      <c r="E45" s="2"/>
      <c r="F45" s="2"/>
      <c r="G45" s="2"/>
      <c r="H45" s="2"/>
      <c r="I45" s="2"/>
      <c r="J45" s="1604" t="str">
        <f>IF(I45=0,"",I46/I45)</f>
        <v/>
      </c>
      <c r="K45" s="1601">
        <f t="shared" ref="K45" si="39">IF(I45=0,0,I47/I45)</f>
        <v>0</v>
      </c>
      <c r="L45" s="1608">
        <f t="shared" ref="L45" si="40">IF(I46=0,0,I47/I46)</f>
        <v>0</v>
      </c>
      <c r="AL45" s="2"/>
      <c r="AM45" s="243"/>
      <c r="AN45" s="243">
        <f>'Bilan complet'!FU36</f>
        <v>0</v>
      </c>
      <c r="AO45" s="2" t="s">
        <v>880</v>
      </c>
      <c r="AT45" s="2" t="s">
        <v>881</v>
      </c>
      <c r="AU45" s="353" t="e">
        <f>VLOOKUP(AU6,Références!$S$4:$X$42,5,FALSE)</f>
        <v>#N/A</v>
      </c>
      <c r="AW45" s="372" t="s">
        <v>488</v>
      </c>
      <c r="AX45" s="375" t="e">
        <f>AY5-AY42-AY43</f>
        <v>#N/A</v>
      </c>
    </row>
    <row r="46" spans="1:51" ht="18.600000000000001" thickBot="1" x14ac:dyDescent="0.55000000000000004">
      <c r="A46" s="2"/>
      <c r="B46" s="2" t="s">
        <v>822</v>
      </c>
      <c r="C46" s="2"/>
      <c r="D46" s="2"/>
      <c r="E46" s="2"/>
      <c r="F46" s="2"/>
      <c r="G46" s="2"/>
      <c r="H46" s="2"/>
      <c r="I46" s="2"/>
      <c r="J46" s="1605"/>
      <c r="K46" s="1602"/>
      <c r="L46" s="1609"/>
      <c r="AL46" s="2"/>
      <c r="AM46" s="243"/>
      <c r="AN46" s="243">
        <f>'Bilan complet'!FU42</f>
        <v>0</v>
      </c>
      <c r="AO46" s="2" t="s">
        <v>883</v>
      </c>
      <c r="AT46" s="2" t="s">
        <v>884</v>
      </c>
      <c r="AU46" s="353" t="e">
        <f>VLOOKUP(AU7,Références!$S$4:$X$42,5,FALSE)</f>
        <v>#N/A</v>
      </c>
      <c r="AW46" s="372" t="s">
        <v>885</v>
      </c>
      <c r="AX46" s="375" t="e">
        <f>AY40-AY5+AY39</f>
        <v>#DIV/0!</v>
      </c>
    </row>
    <row r="47" spans="1:51" ht="18.600000000000001" thickBot="1" x14ac:dyDescent="0.55000000000000004">
      <c r="A47" s="2"/>
      <c r="B47" s="2" t="s">
        <v>823</v>
      </c>
      <c r="C47" s="2"/>
      <c r="D47" s="2"/>
      <c r="E47" s="2"/>
      <c r="F47" s="2"/>
      <c r="G47" s="2"/>
      <c r="H47" s="2"/>
      <c r="I47" s="2"/>
      <c r="J47" s="1606"/>
      <c r="K47" s="1603"/>
      <c r="L47" s="1610"/>
      <c r="AL47" s="2"/>
      <c r="AM47" s="243"/>
      <c r="AN47" s="243">
        <f>'Bilan complet'!FU47</f>
        <v>0</v>
      </c>
      <c r="AO47" s="2" t="s">
        <v>407</v>
      </c>
      <c r="AT47" s="2" t="s">
        <v>887</v>
      </c>
      <c r="AU47" s="353" t="e">
        <f>VLOOKUP(AU8,Références!$S$4:$X$42,5,FALSE)</f>
        <v>#N/A</v>
      </c>
      <c r="AW47" s="372" t="s">
        <v>888</v>
      </c>
      <c r="AX47" s="375" t="e">
        <f>AX46*(AU52/AU9)/AU50</f>
        <v>#DIV/0!</v>
      </c>
    </row>
    <row r="48" spans="1:51" ht="17.25" customHeight="1" thickBot="1" x14ac:dyDescent="0.55000000000000004">
      <c r="A48" s="454" t="s">
        <v>879</v>
      </c>
      <c r="B48" s="22"/>
      <c r="C48" s="181"/>
      <c r="D48" s="182"/>
      <c r="E48" s="182"/>
      <c r="F48" s="182"/>
      <c r="G48" s="182"/>
      <c r="H48" s="182"/>
      <c r="I48" s="600"/>
      <c r="AT48" s="2" t="s">
        <v>889</v>
      </c>
      <c r="AU48" s="353" t="e">
        <f>AU44*AU$11+AU45*AU$12+AU46*Exploitation!E$28+AU47*(Exploitation!E$17+Exploitation!E$27)</f>
        <v>#N/A</v>
      </c>
    </row>
    <row r="49" spans="1:47" ht="17.25" customHeight="1" thickBot="1" x14ac:dyDescent="0.55000000000000004">
      <c r="A49" s="454" t="s">
        <v>882</v>
      </c>
      <c r="B49" s="22"/>
      <c r="C49" s="184"/>
      <c r="D49" s="2"/>
      <c r="E49" s="2"/>
      <c r="F49" s="2"/>
      <c r="G49" s="2"/>
      <c r="H49" s="2"/>
      <c r="I49" s="443"/>
      <c r="AT49" s="2" t="s">
        <v>890</v>
      </c>
      <c r="AU49" s="353" t="e">
        <f>AU$11*AU44+AU$14*AU$16*AU46+AU$18*AU$20*AU47</f>
        <v>#N/A</v>
      </c>
    </row>
    <row r="50" spans="1:47" ht="17.25" customHeight="1" thickBot="1" x14ac:dyDescent="0.55000000000000004">
      <c r="A50" s="454" t="s">
        <v>886</v>
      </c>
      <c r="B50" s="22"/>
      <c r="C50" s="185"/>
      <c r="D50" s="3"/>
      <c r="E50" s="3"/>
      <c r="F50" s="3"/>
      <c r="G50" s="3"/>
      <c r="H50" s="3"/>
      <c r="I50" s="444"/>
      <c r="AL50" s="1619" t="s">
        <v>891</v>
      </c>
      <c r="AM50" s="1619"/>
      <c r="AN50" s="1619"/>
      <c r="AO50" s="1619"/>
      <c r="AP50" s="1619"/>
      <c r="AQ50" s="1619"/>
      <c r="AT50" s="2" t="s">
        <v>892</v>
      </c>
      <c r="AU50" s="259">
        <v>21203</v>
      </c>
    </row>
    <row r="51" spans="1:47" ht="17.25" customHeight="1" x14ac:dyDescent="0.5">
      <c r="AL51" s="2"/>
      <c r="AM51" s="2">
        <v>2022</v>
      </c>
      <c r="AN51" s="2" t="s">
        <v>893</v>
      </c>
      <c r="AO51" s="2" t="s">
        <v>894</v>
      </c>
      <c r="AP51" s="2" t="s">
        <v>895</v>
      </c>
      <c r="AQ51" s="2" t="s">
        <v>896</v>
      </c>
      <c r="AR51" s="2" t="s">
        <v>155</v>
      </c>
      <c r="AT51" s="2" t="s">
        <v>897</v>
      </c>
      <c r="AU51" s="2" t="e">
        <f>(AU14*AU16+AU18*AU20)/Exploitation!E16</f>
        <v>#DIV/0!</v>
      </c>
    </row>
    <row r="52" spans="1:47" ht="17.25" customHeight="1" thickBot="1" x14ac:dyDescent="0.55000000000000004">
      <c r="AL52" s="446" t="s">
        <v>549</v>
      </c>
      <c r="AM52" s="2">
        <f>H3</f>
        <v>0</v>
      </c>
      <c r="AN52" s="2">
        <f>D3</f>
        <v>0</v>
      </c>
      <c r="AO52" s="2">
        <f>E3</f>
        <v>0</v>
      </c>
      <c r="AP52" s="2">
        <f>F3</f>
        <v>0</v>
      </c>
      <c r="AQ52" s="2">
        <f>G3</f>
        <v>0</v>
      </c>
      <c r="AR52" s="2">
        <f>SUM(AM52:AQ52)</f>
        <v>0</v>
      </c>
      <c r="AT52" s="2" t="s">
        <v>898</v>
      </c>
      <c r="AU52" s="2">
        <f>GETPIVOTDATA("Somme de Poids carcasse",$A$2,"Type animaux","Agneaux lourds label")+GETPIVOTDATA("Somme de Poids carcasse",$A$2,"Type animaux","Agneaux lourd adret")+GETPIVOTDATA("Somme de Poids carcasse",$A$2,"Type animaux","Agneaux lourds standards")+GETPIVOTDATA("Somme de Poids carcasse",$A$2,"Type animaux","Agneaux lourds bio")+GETPIVOTDATA("Somme de Poids carcasse",$A$2,"Type animaux","Agneaux légers")+GETPIVOTDATA("Somme de Poids carcasse",$A$2,"Type animaux","Agneaux maigres")+GETPIVOTDATA("Somme de Poids carcasse",$A$2,"Type animaux","Tardons maigres")+GETPIVOTDATA("Somme de Poids carcasse",$A$2,"Type animaux","Tardons finis")+GETPIVOTDATA("Somme de Poids carcasse",$A$2,"Type animaux","Jeunes femelles reproduction")+GETPIVOTDATA("Somme de Poids carcasse",$A$2,"Type animaux","Jeunes males reproduction")+GETPIVOTDATA("Somme de Poids carcasse",$A$2,"Type animaux","Autoconsommé")</f>
        <v>0</v>
      </c>
    </row>
    <row r="53" spans="1:47" ht="17.25" customHeight="1" thickBot="1" x14ac:dyDescent="0.55000000000000004">
      <c r="AL53" s="446" t="s">
        <v>551</v>
      </c>
      <c r="AM53" s="2">
        <f>H6</f>
        <v>0</v>
      </c>
      <c r="AN53" s="2">
        <f>D6</f>
        <v>0</v>
      </c>
      <c r="AO53" s="2">
        <f>E6</f>
        <v>0</v>
      </c>
      <c r="AP53" s="2">
        <f>F6</f>
        <v>0</v>
      </c>
      <c r="AQ53" s="2">
        <f>G6</f>
        <v>0</v>
      </c>
      <c r="AR53" s="2">
        <f t="shared" ref="AR53:AR57" si="41">SUM(AM53:AQ53)</f>
        <v>0</v>
      </c>
    </row>
    <row r="54" spans="1:47" ht="17.25" customHeight="1" x14ac:dyDescent="0.5">
      <c r="AL54" s="446" t="s">
        <v>556</v>
      </c>
      <c r="AM54" s="2">
        <f>H9</f>
        <v>0</v>
      </c>
      <c r="AN54" s="2">
        <f>D9</f>
        <v>0</v>
      </c>
      <c r="AO54" s="2">
        <f>E9</f>
        <v>0</v>
      </c>
      <c r="AP54" s="2">
        <f>F9</f>
        <v>0</v>
      </c>
      <c r="AQ54" s="2">
        <f>G9</f>
        <v>0</v>
      </c>
      <c r="AR54" s="2">
        <f t="shared" si="41"/>
        <v>0</v>
      </c>
    </row>
    <row r="55" spans="1:47" ht="17.25" customHeight="1" x14ac:dyDescent="0.5">
      <c r="AL55" s="446" t="s">
        <v>559</v>
      </c>
      <c r="AM55" s="2">
        <f>H12</f>
        <v>0</v>
      </c>
      <c r="AN55" s="2">
        <f>D12</f>
        <v>0</v>
      </c>
      <c r="AO55" s="2">
        <f>E12</f>
        <v>0</v>
      </c>
      <c r="AP55" s="2">
        <f>F12</f>
        <v>0</v>
      </c>
      <c r="AQ55" s="2">
        <f>G12</f>
        <v>0</v>
      </c>
      <c r="AR55" s="2">
        <f t="shared" si="41"/>
        <v>0</v>
      </c>
    </row>
    <row r="56" spans="1:47" ht="17.25" customHeight="1" x14ac:dyDescent="0.5">
      <c r="AL56" s="446" t="s">
        <v>634</v>
      </c>
      <c r="AM56" s="2">
        <f>H15</f>
        <v>0</v>
      </c>
      <c r="AN56" s="2">
        <f>D15</f>
        <v>0</v>
      </c>
      <c r="AO56" s="2">
        <f>E15</f>
        <v>0</v>
      </c>
      <c r="AP56" s="2">
        <f>F15</f>
        <v>0</v>
      </c>
      <c r="AQ56" s="2">
        <f>G15</f>
        <v>0</v>
      </c>
      <c r="AR56" s="2">
        <f t="shared" si="41"/>
        <v>0</v>
      </c>
    </row>
    <row r="57" spans="1:47" ht="17.25" customHeight="1" x14ac:dyDescent="0.5">
      <c r="AL57" s="446" t="s">
        <v>647</v>
      </c>
      <c r="AM57" s="2">
        <f>H18</f>
        <v>0</v>
      </c>
      <c r="AN57" s="2">
        <f>D18</f>
        <v>0</v>
      </c>
      <c r="AO57" s="2">
        <f>E18</f>
        <v>0</v>
      </c>
      <c r="AP57" s="2">
        <f>F18</f>
        <v>0</v>
      </c>
      <c r="AQ57" s="2">
        <f>G18</f>
        <v>0</v>
      </c>
      <c r="AR57" s="2">
        <f t="shared" si="41"/>
        <v>0</v>
      </c>
    </row>
    <row r="58" spans="1:47" ht="17.25" customHeight="1" x14ac:dyDescent="0.5">
      <c r="AL58" s="457" t="s">
        <v>654</v>
      </c>
      <c r="AM58" s="2">
        <f>H21+H24</f>
        <v>0</v>
      </c>
      <c r="AN58" s="2">
        <f>D21+D24</f>
        <v>0</v>
      </c>
      <c r="AO58" s="2">
        <f>E21+E24</f>
        <v>0</v>
      </c>
      <c r="AP58" s="2">
        <f>F21+F24</f>
        <v>0</v>
      </c>
      <c r="AQ58" s="2">
        <f>G21+G24</f>
        <v>0</v>
      </c>
      <c r="AR58" s="2"/>
    </row>
    <row r="59" spans="1:47" ht="17.25" customHeight="1" x14ac:dyDescent="0.5">
      <c r="AL59" s="446" t="s">
        <v>662</v>
      </c>
      <c r="AM59" s="2">
        <f>H27+H30</f>
        <v>0</v>
      </c>
      <c r="AN59" s="2">
        <f>D27+D30</f>
        <v>0</v>
      </c>
      <c r="AO59" s="2">
        <f>E27+E30</f>
        <v>0</v>
      </c>
      <c r="AP59" s="2">
        <f>F27+F30</f>
        <v>0</v>
      </c>
      <c r="AQ59" s="2">
        <f>G27+G30</f>
        <v>0</v>
      </c>
      <c r="AR59" s="2">
        <f>SUM(AM59:AQ59)</f>
        <v>0</v>
      </c>
    </row>
    <row r="60" spans="1:47" ht="17.25" customHeight="1" x14ac:dyDescent="0.5">
      <c r="AL60" s="447" t="s">
        <v>899</v>
      </c>
      <c r="AM60" s="2">
        <f>' Elevage'!K12</f>
        <v>0</v>
      </c>
      <c r="AN60" s="448">
        <f>' Elevage'!K16</f>
        <v>0</v>
      </c>
      <c r="AO60" s="448">
        <f>' Elevage'!K17</f>
        <v>0</v>
      </c>
      <c r="AP60" s="448">
        <f>' Elevage'!K18</f>
        <v>0</v>
      </c>
      <c r="AQ60" s="448">
        <f>' Elevage'!K19</f>
        <v>0</v>
      </c>
      <c r="AR60" s="2">
        <f>SUM(AM60:AQ60)</f>
        <v>0</v>
      </c>
    </row>
    <row r="61" spans="1:47" ht="17.25" customHeight="1" x14ac:dyDescent="0.5">
      <c r="AL61" s="447" t="s">
        <v>900</v>
      </c>
      <c r="AM61" s="2">
        <f>' Elevage'!L12</f>
        <v>0</v>
      </c>
      <c r="AN61" s="448">
        <f>' Elevage'!L16</f>
        <v>0</v>
      </c>
      <c r="AO61" s="448">
        <f>' Elevage'!L17</f>
        <v>0</v>
      </c>
      <c r="AP61" s="448">
        <f>' Elevage'!L18</f>
        <v>0</v>
      </c>
      <c r="AQ61" s="448">
        <f>' Elevage'!L19</f>
        <v>0</v>
      </c>
      <c r="AR61" s="2">
        <f>SUM(AM61:AQ61)</f>
        <v>0</v>
      </c>
    </row>
    <row r="62" spans="1:47" ht="17.25" customHeight="1" x14ac:dyDescent="0.5">
      <c r="AL62" s="447" t="s">
        <v>146</v>
      </c>
      <c r="AM62" s="2">
        <f>' Elevage'!M12</f>
        <v>0</v>
      </c>
      <c r="AN62" s="448">
        <f>' Elevage'!M16</f>
        <v>0</v>
      </c>
      <c r="AO62" s="448">
        <f>' Elevage'!M17</f>
        <v>0</v>
      </c>
      <c r="AP62" s="448">
        <f>' Elevage'!M18</f>
        <v>0</v>
      </c>
      <c r="AQ62" s="448">
        <f>' Elevage'!M19</f>
        <v>0</v>
      </c>
      <c r="AR62" s="2">
        <f>SUM(AM62:AQ62)</f>
        <v>0</v>
      </c>
    </row>
    <row r="63" spans="1:47" ht="17.25" customHeight="1" x14ac:dyDescent="0.5">
      <c r="AL63" s="447" t="s">
        <v>901</v>
      </c>
      <c r="AM63" s="2">
        <f t="shared" ref="AM63:AR63" si="42">SUM(AM52:AM62)</f>
        <v>0</v>
      </c>
      <c r="AN63" s="2">
        <f t="shared" si="42"/>
        <v>0</v>
      </c>
      <c r="AO63" s="2">
        <f t="shared" si="42"/>
        <v>0</v>
      </c>
      <c r="AP63" s="2">
        <f t="shared" si="42"/>
        <v>0</v>
      </c>
      <c r="AQ63" s="2">
        <f t="shared" si="42"/>
        <v>0</v>
      </c>
      <c r="AR63" s="2">
        <f t="shared" si="42"/>
        <v>0</v>
      </c>
    </row>
    <row r="66" spans="38:41" ht="17.25" customHeight="1" x14ac:dyDescent="0.5">
      <c r="AL66" s="1612" t="s">
        <v>902</v>
      </c>
      <c r="AM66" s="1612"/>
    </row>
    <row r="67" spans="38:41" ht="17.25" customHeight="1" x14ac:dyDescent="0.5">
      <c r="AL67" s="2" t="s">
        <v>255</v>
      </c>
      <c r="AM67" s="81">
        <f>'Charges de structure'!C2</f>
        <v>0</v>
      </c>
    </row>
    <row r="68" spans="38:41" ht="17.25" customHeight="1" x14ac:dyDescent="0.5">
      <c r="AL68" s="2" t="s">
        <v>259</v>
      </c>
      <c r="AM68" s="81">
        <f>'Charges de structure'!C6</f>
        <v>0</v>
      </c>
    </row>
    <row r="69" spans="38:41" ht="17.25" customHeight="1" x14ac:dyDescent="0.5">
      <c r="AL69" s="2" t="s">
        <v>268</v>
      </c>
      <c r="AM69" s="81">
        <f>'Charges de structure'!C17</f>
        <v>0</v>
      </c>
    </row>
    <row r="70" spans="38:41" ht="17.25" customHeight="1" x14ac:dyDescent="0.5">
      <c r="AL70" s="2" t="s">
        <v>271</v>
      </c>
      <c r="AM70" s="81">
        <f>'Charges de structure'!C20</f>
        <v>0</v>
      </c>
    </row>
    <row r="71" spans="38:41" ht="17.25" customHeight="1" x14ac:dyDescent="0.5">
      <c r="AL71" s="2" t="s">
        <v>274</v>
      </c>
      <c r="AM71" s="81">
        <f>'Charges de structure'!C23</f>
        <v>0</v>
      </c>
    </row>
    <row r="72" spans="38:41" ht="17.25" customHeight="1" x14ac:dyDescent="0.5">
      <c r="AL72" s="2" t="s">
        <v>277</v>
      </c>
      <c r="AM72" s="81">
        <f>'Charges de structure'!C26</f>
        <v>0</v>
      </c>
    </row>
    <row r="73" spans="38:41" ht="17.25" customHeight="1" x14ac:dyDescent="0.5">
      <c r="AL73" s="2" t="s">
        <v>282</v>
      </c>
      <c r="AM73" s="81">
        <f>'Charges de structure'!C30</f>
        <v>0</v>
      </c>
    </row>
    <row r="74" spans="38:41" ht="17.25" customHeight="1" x14ac:dyDescent="0.5">
      <c r="AL74" s="372" t="s">
        <v>903</v>
      </c>
      <c r="AM74" s="372"/>
    </row>
    <row r="78" spans="38:41" ht="17.25" customHeight="1" x14ac:dyDescent="0.5">
      <c r="AL78" s="1612" t="s">
        <v>904</v>
      </c>
      <c r="AM78" s="1612"/>
      <c r="AN78" s="1612"/>
      <c r="AO78" s="1612"/>
    </row>
    <row r="79" spans="38:41" ht="17.25" customHeight="1" x14ac:dyDescent="0.5">
      <c r="AL79" s="2" t="s">
        <v>455</v>
      </c>
      <c r="AM79" s="356" t="e">
        <f>AY6</f>
        <v>#DIV/0!</v>
      </c>
      <c r="AN79" s="2"/>
      <c r="AO79" s="2"/>
    </row>
    <row r="80" spans="38:41" ht="17.25" customHeight="1" x14ac:dyDescent="0.5">
      <c r="AL80" s="2" t="s">
        <v>458</v>
      </c>
      <c r="AM80" s="356" t="e">
        <f>AY9</f>
        <v>#DIV/0!</v>
      </c>
      <c r="AN80" s="2"/>
      <c r="AO80" s="2"/>
    </row>
    <row r="81" spans="38:41" ht="17.25" customHeight="1" x14ac:dyDescent="0.5">
      <c r="AL81" s="2" t="s">
        <v>462</v>
      </c>
      <c r="AM81" s="356" t="e">
        <f>AY13</f>
        <v>#DIV/0!</v>
      </c>
      <c r="AN81" s="2"/>
      <c r="AO81" s="2"/>
    </row>
    <row r="82" spans="38:41" ht="17.25" customHeight="1" x14ac:dyDescent="0.5">
      <c r="AL82" s="2" t="s">
        <v>465</v>
      </c>
      <c r="AM82" s="356" t="e">
        <f>AY17+AY37</f>
        <v>#N/A</v>
      </c>
      <c r="AN82" s="2"/>
      <c r="AO82" s="2"/>
    </row>
    <row r="83" spans="38:41" ht="17.25" customHeight="1" x14ac:dyDescent="0.5">
      <c r="AL83" s="2" t="s">
        <v>469</v>
      </c>
      <c r="AM83" s="356" t="e">
        <f>AY21+AY38</f>
        <v>#N/A</v>
      </c>
      <c r="AN83" s="2"/>
      <c r="AO83" s="2"/>
    </row>
    <row r="84" spans="38:41" ht="17.25" customHeight="1" x14ac:dyDescent="0.5">
      <c r="AL84" s="2" t="s">
        <v>476</v>
      </c>
      <c r="AM84" s="356" t="e">
        <f>AY25</f>
        <v>#N/A</v>
      </c>
      <c r="AN84" s="2"/>
      <c r="AO84" s="2"/>
    </row>
    <row r="85" spans="38:41" ht="17.25" customHeight="1" x14ac:dyDescent="0.5">
      <c r="AL85" s="2" t="s">
        <v>478</v>
      </c>
      <c r="AM85" s="356" t="e">
        <f>AY27</f>
        <v>#N/A</v>
      </c>
      <c r="AN85" s="2"/>
      <c r="AO85" s="2"/>
    </row>
    <row r="86" spans="38:41" ht="17.25" customHeight="1" x14ac:dyDescent="0.5">
      <c r="AL86" s="2" t="s">
        <v>481</v>
      </c>
      <c r="AM86" s="356" t="e">
        <f>AY30+AY39</f>
        <v>#DIV/0!</v>
      </c>
      <c r="AN86" s="2"/>
      <c r="AO86" s="2"/>
    </row>
    <row r="87" spans="38:41" ht="17.25" customHeight="1" x14ac:dyDescent="0.5">
      <c r="AL87" s="2" t="s">
        <v>474</v>
      </c>
      <c r="AM87" s="356" t="e">
        <f>AY32</f>
        <v>#DIV/0!</v>
      </c>
      <c r="AN87" s="2"/>
      <c r="AO87" s="2"/>
    </row>
    <row r="88" spans="38:41" ht="17.25" customHeight="1" x14ac:dyDescent="0.5">
      <c r="AL88" s="2"/>
      <c r="AM88" s="2"/>
      <c r="AN88" s="356" t="e">
        <f>AY41</f>
        <v>#DIV/0!</v>
      </c>
      <c r="AO88" s="2" t="s">
        <v>485</v>
      </c>
    </row>
    <row r="89" spans="38:41" ht="17.25" customHeight="1" x14ac:dyDescent="0.5">
      <c r="AL89" s="2"/>
      <c r="AM89" s="2"/>
      <c r="AN89" s="356" t="e">
        <f>AY42</f>
        <v>#DIV/0!</v>
      </c>
      <c r="AO89" s="2" t="s">
        <v>486</v>
      </c>
    </row>
    <row r="90" spans="38:41" ht="17.25" customHeight="1" x14ac:dyDescent="0.5">
      <c r="AL90" s="2"/>
      <c r="AM90" s="2"/>
      <c r="AN90" s="356" t="e">
        <f>AY43</f>
        <v>#DIV/0!</v>
      </c>
      <c r="AO90" s="2" t="s">
        <v>487</v>
      </c>
    </row>
    <row r="91" spans="38:41" ht="17.25" customHeight="1" x14ac:dyDescent="0.5">
      <c r="AL91" s="2"/>
      <c r="AM91" s="2" t="s">
        <v>905</v>
      </c>
      <c r="AN91" s="2" t="s">
        <v>906</v>
      </c>
      <c r="AO91" s="2"/>
    </row>
    <row r="94" spans="38:41" ht="17.25" customHeight="1" x14ac:dyDescent="0.5">
      <c r="AL94" s="1620" t="s">
        <v>907</v>
      </c>
      <c r="AM94" s="1479"/>
    </row>
    <row r="95" spans="38:41" ht="17.25" customHeight="1" x14ac:dyDescent="0.5">
      <c r="AL95" s="372" t="s">
        <v>34</v>
      </c>
      <c r="AM95" s="555">
        <f>Exploitation!E17</f>
        <v>0</v>
      </c>
    </row>
    <row r="96" spans="38:41" ht="17.25" customHeight="1" x14ac:dyDescent="0.5">
      <c r="AL96" s="372" t="s">
        <v>37</v>
      </c>
      <c r="AM96" s="555">
        <f>Exploitation!E22</f>
        <v>0</v>
      </c>
    </row>
    <row r="97" spans="1:39" ht="17.25" customHeight="1" x14ac:dyDescent="0.5">
      <c r="AL97" s="372" t="s">
        <v>42</v>
      </c>
      <c r="AM97" s="555">
        <f>Exploitation!E27</f>
        <v>0</v>
      </c>
    </row>
    <row r="98" spans="1:39" ht="17.25" customHeight="1" x14ac:dyDescent="0.5">
      <c r="AL98" s="372" t="s">
        <v>44</v>
      </c>
      <c r="AM98" s="555">
        <f>Exploitation!E28</f>
        <v>0</v>
      </c>
    </row>
    <row r="99" spans="1:39" ht="17.25" customHeight="1" x14ac:dyDescent="0.5">
      <c r="AL99" s="372" t="s">
        <v>48</v>
      </c>
      <c r="AM99" s="555">
        <f>Exploitation!E33</f>
        <v>0</v>
      </c>
    </row>
    <row r="100" spans="1:39" ht="17.25" customHeight="1" x14ac:dyDescent="0.5">
      <c r="AL100" s="372" t="s">
        <v>50</v>
      </c>
      <c r="AM100" s="555">
        <f>Exploitation!E34</f>
        <v>0</v>
      </c>
    </row>
    <row r="102" spans="1:39" ht="17.25" customHeight="1" x14ac:dyDescent="0.5">
      <c r="O102" s="24" t="s">
        <v>111</v>
      </c>
      <c r="P102" t="s">
        <v>147</v>
      </c>
    </row>
    <row r="103" spans="1:39" ht="17.25" customHeight="1" x14ac:dyDescent="0.5">
      <c r="A103" s="1607" t="s">
        <v>908</v>
      </c>
      <c r="B103" s="1607"/>
      <c r="C103" s="1607"/>
      <c r="D103" s="1607"/>
      <c r="E103" s="1607"/>
      <c r="F103" s="1607"/>
      <c r="G103" s="1607"/>
      <c r="H103" s="1607"/>
      <c r="I103" s="1607"/>
      <c r="J103" s="1607"/>
      <c r="O103" s="1607" t="s">
        <v>909</v>
      </c>
      <c r="P103" s="1607"/>
      <c r="Q103" s="1607"/>
      <c r="R103" s="1607"/>
      <c r="S103" s="1607"/>
      <c r="T103" s="1607"/>
      <c r="U103" s="1607"/>
      <c r="V103" s="1607"/>
      <c r="W103" s="1607"/>
      <c r="X103" s="1607"/>
      <c r="Y103" s="1607"/>
      <c r="Z103" s="1607"/>
    </row>
    <row r="104" spans="1:39" ht="17.25" customHeight="1" x14ac:dyDescent="0.5">
      <c r="D104" t="s">
        <v>104</v>
      </c>
      <c r="E104" t="s">
        <v>105</v>
      </c>
      <c r="F104" t="s">
        <v>106</v>
      </c>
      <c r="G104" t="s">
        <v>103</v>
      </c>
      <c r="H104" t="s">
        <v>146</v>
      </c>
      <c r="I104" t="s">
        <v>910</v>
      </c>
      <c r="J104" t="s">
        <v>815</v>
      </c>
      <c r="Q104" t="s">
        <v>103</v>
      </c>
      <c r="R104" t="s">
        <v>815</v>
      </c>
    </row>
    <row r="105" spans="1:39" ht="17.25" customHeight="1" x14ac:dyDescent="0.5">
      <c r="A105" t="s">
        <v>131</v>
      </c>
      <c r="B105" t="s">
        <v>148</v>
      </c>
      <c r="C105" s="2" t="s">
        <v>819</v>
      </c>
      <c r="D105" s="2"/>
      <c r="E105" s="2"/>
      <c r="F105" s="2"/>
      <c r="G105" s="2"/>
      <c r="H105" s="2"/>
      <c r="I105" s="2"/>
      <c r="J105" s="2"/>
      <c r="O105" t="s">
        <v>131</v>
      </c>
      <c r="P105" s="2" t="s">
        <v>819</v>
      </c>
      <c r="Q105" s="2"/>
      <c r="R105" s="2"/>
    </row>
    <row r="106" spans="1:39" ht="17.25" customHeight="1" x14ac:dyDescent="0.5">
      <c r="C106" t="s">
        <v>822</v>
      </c>
      <c r="D106" s="2"/>
      <c r="E106" s="2"/>
      <c r="F106" s="2"/>
      <c r="G106" s="2"/>
      <c r="H106" s="2"/>
      <c r="I106" s="2"/>
      <c r="J106" s="2"/>
      <c r="P106" t="s">
        <v>822</v>
      </c>
      <c r="Q106" s="2"/>
      <c r="R106" s="2"/>
    </row>
    <row r="107" spans="1:39" ht="17.25" customHeight="1" x14ac:dyDescent="0.5">
      <c r="C107" s="2" t="s">
        <v>823</v>
      </c>
      <c r="D107" s="2"/>
      <c r="E107" s="2"/>
      <c r="F107" s="2"/>
      <c r="G107" s="2"/>
      <c r="H107" s="2"/>
      <c r="I107" s="2"/>
      <c r="J107" s="2"/>
      <c r="P107" s="2" t="s">
        <v>823</v>
      </c>
      <c r="Q107" s="2"/>
      <c r="R107" s="2"/>
    </row>
    <row r="108" spans="1:39" ht="17.25" customHeight="1" x14ac:dyDescent="0.5">
      <c r="B108" t="s">
        <v>140</v>
      </c>
      <c r="C108" s="2" t="s">
        <v>819</v>
      </c>
      <c r="D108" s="2"/>
      <c r="E108" s="2"/>
      <c r="F108" s="2"/>
      <c r="G108" s="2"/>
      <c r="H108" s="2"/>
      <c r="I108" s="2"/>
      <c r="J108" s="2"/>
      <c r="O108" t="s">
        <v>129</v>
      </c>
      <c r="P108" s="2" t="s">
        <v>819</v>
      </c>
      <c r="Q108" s="2"/>
      <c r="R108" s="2"/>
    </row>
    <row r="109" spans="1:39" ht="17.25" customHeight="1" x14ac:dyDescent="0.5">
      <c r="C109" t="s">
        <v>822</v>
      </c>
      <c r="D109" s="2"/>
      <c r="E109" s="2"/>
      <c r="F109" s="2"/>
      <c r="G109" s="2"/>
      <c r="H109" s="2"/>
      <c r="I109" s="2"/>
      <c r="J109" s="2"/>
      <c r="P109" t="s">
        <v>822</v>
      </c>
      <c r="Q109" s="2"/>
      <c r="R109" s="2"/>
    </row>
    <row r="110" spans="1:39" ht="17.25" customHeight="1" x14ac:dyDescent="0.5">
      <c r="C110" s="2" t="s">
        <v>823</v>
      </c>
      <c r="D110" s="2"/>
      <c r="E110" s="2"/>
      <c r="F110" s="2"/>
      <c r="G110" s="2"/>
      <c r="H110" s="2"/>
      <c r="I110" s="2"/>
      <c r="J110" s="2"/>
      <c r="P110" s="2" t="s">
        <v>823</v>
      </c>
      <c r="Q110" s="2"/>
      <c r="R110" s="2"/>
    </row>
    <row r="111" spans="1:39" ht="17.25" customHeight="1" x14ac:dyDescent="0.5">
      <c r="B111" t="s">
        <v>147</v>
      </c>
      <c r="C111" s="2" t="s">
        <v>819</v>
      </c>
      <c r="D111" s="2"/>
      <c r="E111" s="2"/>
      <c r="F111" s="2"/>
      <c r="G111" s="2"/>
      <c r="H111" s="2"/>
      <c r="I111" s="2"/>
      <c r="J111" s="2"/>
      <c r="O111" t="s">
        <v>130</v>
      </c>
      <c r="P111" s="2" t="s">
        <v>819</v>
      </c>
      <c r="Q111" s="2"/>
      <c r="R111" s="2"/>
    </row>
    <row r="112" spans="1:39" ht="17.25" customHeight="1" x14ac:dyDescent="0.5">
      <c r="C112" t="s">
        <v>822</v>
      </c>
      <c r="D112" s="2"/>
      <c r="E112" s="2"/>
      <c r="F112" s="2"/>
      <c r="G112" s="2"/>
      <c r="H112" s="2"/>
      <c r="I112" s="2"/>
      <c r="J112" s="2"/>
      <c r="P112" t="s">
        <v>822</v>
      </c>
      <c r="Q112" s="2"/>
      <c r="R112" s="2"/>
    </row>
    <row r="113" spans="1:18" ht="17.25" customHeight="1" x14ac:dyDescent="0.5">
      <c r="C113" s="2" t="s">
        <v>823</v>
      </c>
      <c r="D113" s="2"/>
      <c r="E113" s="2"/>
      <c r="F113" s="2"/>
      <c r="G113" s="2"/>
      <c r="H113" s="2"/>
      <c r="I113" s="2"/>
      <c r="J113" s="2"/>
      <c r="P113" s="2" t="s">
        <v>823</v>
      </c>
      <c r="Q113" s="2"/>
      <c r="R113" s="2"/>
    </row>
    <row r="114" spans="1:18" ht="17.25" customHeight="1" x14ac:dyDescent="0.5">
      <c r="B114" t="s">
        <v>911</v>
      </c>
      <c r="C114" s="2" t="s">
        <v>819</v>
      </c>
      <c r="D114" s="2"/>
      <c r="E114" s="2"/>
      <c r="F114" s="2"/>
      <c r="G114" s="2"/>
      <c r="H114" s="2"/>
      <c r="I114" s="2"/>
      <c r="J114" s="2"/>
      <c r="O114" t="s">
        <v>136</v>
      </c>
      <c r="P114" s="2" t="s">
        <v>819</v>
      </c>
      <c r="Q114" s="2"/>
      <c r="R114" s="2"/>
    </row>
    <row r="115" spans="1:18" ht="17.25" customHeight="1" x14ac:dyDescent="0.5">
      <c r="C115" t="s">
        <v>822</v>
      </c>
      <c r="D115" s="2"/>
      <c r="E115" s="2"/>
      <c r="F115" s="2"/>
      <c r="G115" s="2"/>
      <c r="H115" s="2"/>
      <c r="I115" s="2"/>
      <c r="J115" s="2"/>
      <c r="P115" t="s">
        <v>822</v>
      </c>
      <c r="Q115" s="2"/>
      <c r="R115" s="2"/>
    </row>
    <row r="116" spans="1:18" ht="17.25" customHeight="1" x14ac:dyDescent="0.5">
      <c r="C116" s="2" t="s">
        <v>823</v>
      </c>
      <c r="D116" s="2"/>
      <c r="E116" s="2"/>
      <c r="F116" s="2"/>
      <c r="G116" s="2"/>
      <c r="H116" s="2"/>
      <c r="I116" s="2"/>
      <c r="J116" s="2"/>
      <c r="P116" s="2" t="s">
        <v>823</v>
      </c>
      <c r="Q116" s="2"/>
      <c r="R116" s="2"/>
    </row>
    <row r="117" spans="1:18" ht="17.25" customHeight="1" x14ac:dyDescent="0.5">
      <c r="A117" t="s">
        <v>129</v>
      </c>
      <c r="B117" t="s">
        <v>148</v>
      </c>
      <c r="C117" s="2" t="s">
        <v>819</v>
      </c>
      <c r="D117" s="2"/>
      <c r="E117" s="2"/>
      <c r="F117" s="2"/>
      <c r="G117" s="2"/>
      <c r="H117" s="2"/>
      <c r="I117" s="2"/>
      <c r="J117" s="2"/>
      <c r="O117" t="s">
        <v>135</v>
      </c>
      <c r="P117" s="2" t="s">
        <v>819</v>
      </c>
      <c r="Q117" s="2"/>
      <c r="R117" s="2"/>
    </row>
    <row r="118" spans="1:18" ht="17.25" customHeight="1" x14ac:dyDescent="0.5">
      <c r="C118" t="s">
        <v>822</v>
      </c>
      <c r="D118" s="2"/>
      <c r="E118" s="2"/>
      <c r="F118" s="2"/>
      <c r="G118" s="2"/>
      <c r="H118" s="2"/>
      <c r="I118" s="2"/>
      <c r="J118" s="2"/>
      <c r="P118" t="s">
        <v>822</v>
      </c>
      <c r="Q118" s="2"/>
      <c r="R118" s="2"/>
    </row>
    <row r="119" spans="1:18" ht="17.25" customHeight="1" x14ac:dyDescent="0.5">
      <c r="C119" s="2" t="s">
        <v>823</v>
      </c>
      <c r="D119" s="2"/>
      <c r="E119" s="2"/>
      <c r="F119" s="2"/>
      <c r="G119" s="2"/>
      <c r="H119" s="2"/>
      <c r="I119" s="2"/>
      <c r="J119" s="2"/>
      <c r="P119" s="2" t="s">
        <v>823</v>
      </c>
      <c r="Q119" s="2"/>
      <c r="R119" s="2"/>
    </row>
    <row r="120" spans="1:18" ht="17.25" customHeight="1" x14ac:dyDescent="0.5">
      <c r="B120" t="s">
        <v>140</v>
      </c>
      <c r="C120" s="2" t="s">
        <v>819</v>
      </c>
      <c r="D120" s="2"/>
      <c r="E120" s="2"/>
      <c r="F120" s="2"/>
      <c r="G120" s="2"/>
      <c r="H120" s="2"/>
      <c r="I120" s="2"/>
      <c r="J120" s="2"/>
      <c r="O120" t="s">
        <v>134</v>
      </c>
      <c r="P120" s="2" t="s">
        <v>819</v>
      </c>
      <c r="Q120" s="2"/>
      <c r="R120" s="2"/>
    </row>
    <row r="121" spans="1:18" ht="17.25" customHeight="1" x14ac:dyDescent="0.5">
      <c r="C121" t="s">
        <v>822</v>
      </c>
      <c r="D121" s="2"/>
      <c r="E121" s="2"/>
      <c r="F121" s="2"/>
      <c r="G121" s="2"/>
      <c r="H121" s="2"/>
      <c r="I121" s="2"/>
      <c r="J121" s="2"/>
      <c r="P121" t="s">
        <v>822</v>
      </c>
      <c r="Q121" s="2"/>
      <c r="R121" s="2"/>
    </row>
    <row r="122" spans="1:18" ht="17.25" customHeight="1" x14ac:dyDescent="0.5">
      <c r="C122" s="2" t="s">
        <v>823</v>
      </c>
      <c r="D122" s="2"/>
      <c r="E122" s="2"/>
      <c r="F122" s="2"/>
      <c r="G122" s="2"/>
      <c r="H122" s="2"/>
      <c r="I122" s="2"/>
      <c r="J122" s="2"/>
      <c r="P122" s="2" t="s">
        <v>823</v>
      </c>
      <c r="Q122" s="2"/>
      <c r="R122" s="2"/>
    </row>
    <row r="123" spans="1:18" ht="17.25" customHeight="1" x14ac:dyDescent="0.5">
      <c r="B123" t="s">
        <v>147</v>
      </c>
      <c r="C123" s="2" t="s">
        <v>819</v>
      </c>
      <c r="D123" s="2"/>
      <c r="E123" s="2"/>
      <c r="F123" s="2"/>
      <c r="G123" s="2"/>
      <c r="H123" s="2"/>
      <c r="I123" s="2"/>
      <c r="J123" s="2"/>
      <c r="O123" t="s">
        <v>137</v>
      </c>
      <c r="P123" s="2" t="s">
        <v>819</v>
      </c>
      <c r="Q123" s="2"/>
      <c r="R123" s="2"/>
    </row>
    <row r="124" spans="1:18" ht="17.25" customHeight="1" x14ac:dyDescent="0.5">
      <c r="C124" t="s">
        <v>822</v>
      </c>
      <c r="D124" s="2"/>
      <c r="E124" s="2"/>
      <c r="F124" s="2"/>
      <c r="G124" s="2"/>
      <c r="H124" s="2"/>
      <c r="I124" s="2"/>
      <c r="J124" s="2"/>
      <c r="P124" t="s">
        <v>822</v>
      </c>
      <c r="Q124" s="2"/>
      <c r="R124" s="2"/>
    </row>
    <row r="125" spans="1:18" ht="17.25" customHeight="1" x14ac:dyDescent="0.5">
      <c r="C125" s="2" t="s">
        <v>823</v>
      </c>
      <c r="D125" s="2"/>
      <c r="E125" s="2"/>
      <c r="F125" s="2"/>
      <c r="G125" s="2"/>
      <c r="H125" s="2"/>
      <c r="I125" s="2"/>
      <c r="J125" s="2"/>
      <c r="P125" s="2" t="s">
        <v>823</v>
      </c>
      <c r="Q125" s="2"/>
      <c r="R125" s="2"/>
    </row>
    <row r="126" spans="1:18" ht="17.25" customHeight="1" x14ac:dyDescent="0.5">
      <c r="B126" t="s">
        <v>911</v>
      </c>
      <c r="C126" s="2" t="s">
        <v>819</v>
      </c>
      <c r="D126" s="2"/>
      <c r="E126" s="2"/>
      <c r="F126" s="2"/>
      <c r="G126" s="2"/>
      <c r="H126" s="2"/>
      <c r="I126" s="2"/>
      <c r="J126" s="2"/>
      <c r="O126" t="s">
        <v>138</v>
      </c>
      <c r="P126" s="2" t="s">
        <v>819</v>
      </c>
      <c r="Q126" s="2"/>
      <c r="R126" s="2"/>
    </row>
    <row r="127" spans="1:18" ht="17.25" customHeight="1" x14ac:dyDescent="0.5">
      <c r="C127" t="s">
        <v>822</v>
      </c>
      <c r="D127" s="2"/>
      <c r="E127" s="2"/>
      <c r="F127" s="2"/>
      <c r="G127" s="2"/>
      <c r="H127" s="2"/>
      <c r="I127" s="2"/>
      <c r="J127" s="2"/>
      <c r="P127" t="s">
        <v>822</v>
      </c>
      <c r="Q127" s="2"/>
      <c r="R127" s="2"/>
    </row>
    <row r="128" spans="1:18" ht="17.25" customHeight="1" x14ac:dyDescent="0.5">
      <c r="C128" s="2" t="s">
        <v>823</v>
      </c>
      <c r="D128" s="2"/>
      <c r="E128" s="2"/>
      <c r="F128" s="2"/>
      <c r="G128" s="2"/>
      <c r="H128" s="2"/>
      <c r="I128" s="2"/>
      <c r="J128" s="2"/>
      <c r="P128" s="2" t="s">
        <v>823</v>
      </c>
      <c r="Q128" s="2"/>
      <c r="R128" s="2"/>
    </row>
    <row r="129" spans="1:18" ht="17.25" customHeight="1" x14ac:dyDescent="0.5">
      <c r="A129" t="s">
        <v>130</v>
      </c>
      <c r="B129" t="s">
        <v>148</v>
      </c>
      <c r="C129" s="2" t="s">
        <v>819</v>
      </c>
      <c r="D129" s="2"/>
      <c r="E129" s="2"/>
      <c r="F129" s="2"/>
      <c r="G129" s="2"/>
      <c r="H129" s="2"/>
      <c r="I129" s="2"/>
      <c r="J129" s="2"/>
      <c r="O129" t="s">
        <v>133</v>
      </c>
      <c r="P129" s="2" t="s">
        <v>819</v>
      </c>
      <c r="Q129" s="2"/>
      <c r="R129" s="2"/>
    </row>
    <row r="130" spans="1:18" ht="17.25" customHeight="1" x14ac:dyDescent="0.5">
      <c r="C130" t="s">
        <v>822</v>
      </c>
      <c r="D130" s="2"/>
      <c r="E130" s="2"/>
      <c r="F130" s="2"/>
      <c r="G130" s="2"/>
      <c r="H130" s="2"/>
      <c r="I130" s="2"/>
      <c r="J130" s="2"/>
      <c r="P130" t="s">
        <v>822</v>
      </c>
      <c r="Q130" s="2"/>
      <c r="R130" s="2"/>
    </row>
    <row r="131" spans="1:18" ht="17.25" customHeight="1" x14ac:dyDescent="0.5">
      <c r="C131" s="2" t="s">
        <v>823</v>
      </c>
      <c r="D131" s="2"/>
      <c r="E131" s="2"/>
      <c r="F131" s="2"/>
      <c r="G131" s="2"/>
      <c r="H131" s="2"/>
      <c r="I131" s="2"/>
      <c r="J131" s="2"/>
      <c r="P131" s="2" t="s">
        <v>823</v>
      </c>
      <c r="Q131" s="2"/>
      <c r="R131" s="2"/>
    </row>
    <row r="132" spans="1:18" ht="17.25" customHeight="1" x14ac:dyDescent="0.5">
      <c r="B132" t="s">
        <v>140</v>
      </c>
      <c r="C132" s="2" t="s">
        <v>819</v>
      </c>
      <c r="D132" s="2"/>
      <c r="E132" s="2"/>
      <c r="F132" s="2"/>
      <c r="G132" s="2"/>
      <c r="H132" s="2"/>
      <c r="I132" s="2"/>
      <c r="J132" s="2"/>
      <c r="O132" t="s">
        <v>143</v>
      </c>
      <c r="P132" s="2" t="s">
        <v>819</v>
      </c>
      <c r="Q132" s="2"/>
      <c r="R132" s="2"/>
    </row>
    <row r="133" spans="1:18" ht="17.25" customHeight="1" x14ac:dyDescent="0.5">
      <c r="C133" t="s">
        <v>822</v>
      </c>
      <c r="D133" s="2"/>
      <c r="E133" s="2"/>
      <c r="F133" s="2"/>
      <c r="G133" s="2"/>
      <c r="H133" s="2"/>
      <c r="I133" s="2"/>
      <c r="J133" s="2"/>
      <c r="P133" t="s">
        <v>822</v>
      </c>
      <c r="Q133" s="2"/>
      <c r="R133" s="2"/>
    </row>
    <row r="134" spans="1:18" ht="17.25" customHeight="1" x14ac:dyDescent="0.5">
      <c r="C134" s="2" t="s">
        <v>823</v>
      </c>
      <c r="D134" s="2"/>
      <c r="E134" s="2"/>
      <c r="F134" s="2"/>
      <c r="G134" s="2"/>
      <c r="H134" s="2"/>
      <c r="I134" s="2"/>
      <c r="J134" s="2"/>
      <c r="P134" s="2" t="s">
        <v>823</v>
      </c>
      <c r="Q134" s="2"/>
      <c r="R134" s="2"/>
    </row>
    <row r="135" spans="1:18" ht="17.25" customHeight="1" x14ac:dyDescent="0.5">
      <c r="B135" t="s">
        <v>147</v>
      </c>
      <c r="C135" s="2" t="s">
        <v>819</v>
      </c>
      <c r="D135" s="2"/>
      <c r="E135" s="2"/>
      <c r="F135" s="2"/>
      <c r="G135" s="2"/>
      <c r="H135" s="2"/>
      <c r="I135" s="2"/>
      <c r="J135" s="2"/>
      <c r="O135" t="s">
        <v>144</v>
      </c>
      <c r="P135" s="2" t="s">
        <v>819</v>
      </c>
      <c r="Q135" s="2"/>
      <c r="R135" s="2"/>
    </row>
    <row r="136" spans="1:18" ht="17.25" customHeight="1" x14ac:dyDescent="0.5">
      <c r="C136" t="s">
        <v>822</v>
      </c>
      <c r="D136" s="2"/>
      <c r="E136" s="2"/>
      <c r="F136" s="2"/>
      <c r="G136" s="2"/>
      <c r="H136" s="2"/>
      <c r="I136" s="2"/>
      <c r="J136" s="2"/>
      <c r="P136" t="s">
        <v>822</v>
      </c>
      <c r="Q136" s="2"/>
      <c r="R136" s="2"/>
    </row>
    <row r="137" spans="1:18" ht="17.25" customHeight="1" x14ac:dyDescent="0.5">
      <c r="C137" s="2" t="s">
        <v>823</v>
      </c>
      <c r="D137" s="2"/>
      <c r="E137" s="2"/>
      <c r="F137" s="2"/>
      <c r="G137" s="2"/>
      <c r="H137" s="2"/>
      <c r="I137" s="2"/>
      <c r="J137" s="2"/>
      <c r="P137" s="2" t="s">
        <v>823</v>
      </c>
      <c r="Q137" s="2"/>
      <c r="R137" s="2"/>
    </row>
    <row r="138" spans="1:18" ht="17.25" customHeight="1" x14ac:dyDescent="0.5">
      <c r="B138" t="s">
        <v>911</v>
      </c>
      <c r="C138" s="2" t="s">
        <v>819</v>
      </c>
      <c r="D138" s="2"/>
      <c r="E138" s="2"/>
      <c r="F138" s="2"/>
      <c r="G138" s="2"/>
      <c r="H138" s="2"/>
      <c r="I138" s="2"/>
      <c r="J138" s="2"/>
      <c r="O138" t="s">
        <v>141</v>
      </c>
      <c r="P138" t="s">
        <v>819</v>
      </c>
      <c r="Q138" s="2"/>
      <c r="R138" s="2"/>
    </row>
    <row r="139" spans="1:18" ht="17.25" customHeight="1" x14ac:dyDescent="0.5">
      <c r="C139" t="s">
        <v>822</v>
      </c>
      <c r="D139" s="2"/>
      <c r="E139" s="2"/>
      <c r="F139" s="2"/>
      <c r="G139" s="2"/>
      <c r="H139" s="2"/>
      <c r="I139" s="2"/>
      <c r="J139" s="2"/>
      <c r="P139" t="s">
        <v>822</v>
      </c>
      <c r="Q139" s="2"/>
      <c r="R139" s="2"/>
    </row>
    <row r="140" spans="1:18" ht="17.25" customHeight="1" x14ac:dyDescent="0.5">
      <c r="C140" s="2" t="s">
        <v>823</v>
      </c>
      <c r="D140" s="2"/>
      <c r="E140" s="2"/>
      <c r="F140" s="2"/>
      <c r="G140" s="2"/>
      <c r="H140" s="2"/>
      <c r="I140" s="2"/>
      <c r="J140" s="2"/>
      <c r="P140" t="s">
        <v>823</v>
      </c>
      <c r="Q140" s="2"/>
      <c r="R140" s="2"/>
    </row>
    <row r="141" spans="1:18" ht="17.25" customHeight="1" x14ac:dyDescent="0.5">
      <c r="A141" t="s">
        <v>136</v>
      </c>
      <c r="B141" t="s">
        <v>148</v>
      </c>
      <c r="C141" s="2" t="s">
        <v>819</v>
      </c>
      <c r="D141" s="2"/>
      <c r="E141" s="2"/>
      <c r="F141" s="2"/>
      <c r="G141" s="2"/>
      <c r="H141" s="2"/>
      <c r="I141" s="2"/>
      <c r="J141" s="2"/>
      <c r="O141" t="s">
        <v>145</v>
      </c>
      <c r="P141" t="s">
        <v>819</v>
      </c>
      <c r="Q141" s="2"/>
      <c r="R141" s="2"/>
    </row>
    <row r="142" spans="1:18" ht="17.25" customHeight="1" x14ac:dyDescent="0.5">
      <c r="C142" t="s">
        <v>822</v>
      </c>
      <c r="D142" s="2"/>
      <c r="E142" s="2"/>
      <c r="F142" s="2"/>
      <c r="G142" s="2"/>
      <c r="H142" s="2"/>
      <c r="I142" s="2"/>
      <c r="J142" s="2"/>
      <c r="P142" t="s">
        <v>822</v>
      </c>
      <c r="Q142" s="2"/>
      <c r="R142" s="2"/>
    </row>
    <row r="143" spans="1:18" ht="17.25" customHeight="1" x14ac:dyDescent="0.5">
      <c r="C143" s="2" t="s">
        <v>823</v>
      </c>
      <c r="D143" s="2"/>
      <c r="E143" s="2"/>
      <c r="F143" s="2"/>
      <c r="G143" s="2"/>
      <c r="H143" s="2"/>
      <c r="I143" s="2"/>
      <c r="J143" s="2"/>
      <c r="P143" t="s">
        <v>823</v>
      </c>
      <c r="Q143" s="2"/>
      <c r="R143" s="2"/>
    </row>
    <row r="144" spans="1:18" ht="17.25" customHeight="1" x14ac:dyDescent="0.5">
      <c r="B144" t="s">
        <v>140</v>
      </c>
      <c r="C144" s="2" t="s">
        <v>819</v>
      </c>
      <c r="D144" s="2"/>
      <c r="E144" s="2"/>
      <c r="F144" s="2"/>
      <c r="G144" s="2"/>
      <c r="H144" s="2"/>
      <c r="I144" s="2"/>
      <c r="J144" s="2"/>
      <c r="O144" t="s">
        <v>132</v>
      </c>
      <c r="P144" t="s">
        <v>819</v>
      </c>
      <c r="Q144" s="2"/>
      <c r="R144" s="2"/>
    </row>
    <row r="145" spans="1:18" ht="17.25" customHeight="1" x14ac:dyDescent="0.5">
      <c r="C145" t="s">
        <v>822</v>
      </c>
      <c r="D145" s="2"/>
      <c r="E145" s="2"/>
      <c r="F145" s="2"/>
      <c r="G145" s="2"/>
      <c r="H145" s="2"/>
      <c r="I145" s="2"/>
      <c r="J145" s="2"/>
      <c r="P145" t="s">
        <v>822</v>
      </c>
      <c r="Q145" s="2"/>
      <c r="R145" s="2"/>
    </row>
    <row r="146" spans="1:18" ht="17.25" customHeight="1" x14ac:dyDescent="0.5">
      <c r="C146" s="2" t="s">
        <v>823</v>
      </c>
      <c r="D146" s="2"/>
      <c r="E146" s="2"/>
      <c r="F146" s="2"/>
      <c r="G146" s="2"/>
      <c r="H146" s="2"/>
      <c r="I146" s="2"/>
      <c r="J146" s="2"/>
      <c r="P146" t="s">
        <v>823</v>
      </c>
      <c r="Q146" s="2"/>
      <c r="R146" s="2"/>
    </row>
    <row r="147" spans="1:18" ht="17.25" customHeight="1" x14ac:dyDescent="0.5">
      <c r="B147" t="s">
        <v>147</v>
      </c>
      <c r="C147" s="2" t="s">
        <v>819</v>
      </c>
      <c r="D147" s="2"/>
      <c r="E147" s="2"/>
      <c r="F147" s="2"/>
      <c r="G147" s="2"/>
      <c r="H147" s="2"/>
      <c r="I147" s="2"/>
      <c r="J147" s="2"/>
      <c r="O147" t="s">
        <v>879</v>
      </c>
      <c r="P147" s="2"/>
      <c r="Q147" s="2"/>
      <c r="R147" s="2"/>
    </row>
    <row r="148" spans="1:18" ht="17.25" customHeight="1" x14ac:dyDescent="0.5">
      <c r="C148" t="s">
        <v>822</v>
      </c>
      <c r="D148" s="2"/>
      <c r="E148" s="2"/>
      <c r="F148" s="2"/>
      <c r="G148" s="2"/>
      <c r="H148" s="2"/>
      <c r="I148" s="2"/>
      <c r="J148" s="2"/>
      <c r="O148" t="s">
        <v>882</v>
      </c>
      <c r="Q148" s="2"/>
      <c r="R148" s="2"/>
    </row>
    <row r="149" spans="1:18" ht="17.25" customHeight="1" x14ac:dyDescent="0.5">
      <c r="C149" s="2" t="s">
        <v>823</v>
      </c>
      <c r="D149" s="2"/>
      <c r="E149" s="2"/>
      <c r="F149" s="2"/>
      <c r="G149" s="2"/>
      <c r="H149" s="2"/>
      <c r="I149" s="2"/>
      <c r="J149" s="2"/>
      <c r="O149" t="s">
        <v>886</v>
      </c>
      <c r="P149" s="2"/>
      <c r="Q149" s="2"/>
      <c r="R149" s="2"/>
    </row>
    <row r="150" spans="1:18" ht="17.25" customHeight="1" x14ac:dyDescent="0.5">
      <c r="B150" t="s">
        <v>911</v>
      </c>
      <c r="C150" s="2" t="s">
        <v>819</v>
      </c>
      <c r="D150" s="2"/>
      <c r="E150" s="2"/>
      <c r="F150" s="2"/>
      <c r="G150" s="2"/>
      <c r="H150" s="2"/>
      <c r="I150" s="2"/>
      <c r="J150" s="2"/>
    </row>
    <row r="151" spans="1:18" ht="17.25" customHeight="1" x14ac:dyDescent="0.5">
      <c r="C151" t="s">
        <v>822</v>
      </c>
      <c r="D151" s="2"/>
      <c r="E151" s="2"/>
      <c r="F151" s="2"/>
      <c r="G151" s="2"/>
      <c r="H151" s="2"/>
      <c r="I151" s="2"/>
      <c r="J151" s="2"/>
    </row>
    <row r="152" spans="1:18" ht="17.25" customHeight="1" x14ac:dyDescent="0.5">
      <c r="C152" s="2" t="s">
        <v>823</v>
      </c>
      <c r="D152" s="2"/>
      <c r="E152" s="2"/>
      <c r="F152" s="2"/>
      <c r="G152" s="2"/>
      <c r="H152" s="2"/>
      <c r="I152" s="2"/>
      <c r="J152" s="2"/>
    </row>
    <row r="153" spans="1:18" ht="17.25" customHeight="1" x14ac:dyDescent="0.5">
      <c r="A153" t="s">
        <v>135</v>
      </c>
      <c r="B153" t="s">
        <v>148</v>
      </c>
      <c r="C153" s="2" t="s">
        <v>819</v>
      </c>
      <c r="D153" s="2"/>
      <c r="E153" s="2"/>
      <c r="F153" s="2"/>
      <c r="G153" s="2"/>
      <c r="H153" s="2"/>
      <c r="I153" s="2"/>
      <c r="J153" s="2"/>
    </row>
    <row r="154" spans="1:18" ht="17.25" customHeight="1" x14ac:dyDescent="0.5">
      <c r="C154" t="s">
        <v>822</v>
      </c>
      <c r="D154" s="2"/>
      <c r="E154" s="2"/>
      <c r="F154" s="2"/>
      <c r="G154" s="2"/>
      <c r="H154" s="2"/>
      <c r="I154" s="2"/>
      <c r="J154" s="2"/>
    </row>
    <row r="155" spans="1:18" ht="17.25" customHeight="1" x14ac:dyDescent="0.5">
      <c r="C155" s="2" t="s">
        <v>823</v>
      </c>
      <c r="D155" s="2"/>
      <c r="E155" s="2"/>
      <c r="F155" s="2"/>
      <c r="G155" s="2"/>
      <c r="H155" s="2"/>
      <c r="I155" s="2"/>
      <c r="J155" s="2"/>
    </row>
    <row r="156" spans="1:18" ht="17.25" customHeight="1" x14ac:dyDescent="0.5">
      <c r="B156" t="s">
        <v>140</v>
      </c>
      <c r="C156" s="2" t="s">
        <v>819</v>
      </c>
      <c r="D156" s="2"/>
      <c r="E156" s="2"/>
      <c r="F156" s="2"/>
      <c r="G156" s="2"/>
      <c r="H156" s="2"/>
      <c r="I156" s="2"/>
      <c r="J156" s="2"/>
    </row>
    <row r="157" spans="1:18" ht="17.25" customHeight="1" x14ac:dyDescent="0.5">
      <c r="C157" t="s">
        <v>822</v>
      </c>
      <c r="D157" s="2"/>
      <c r="E157" s="2"/>
      <c r="F157" s="2"/>
      <c r="G157" s="2"/>
      <c r="H157" s="2"/>
      <c r="I157" s="2"/>
      <c r="J157" s="2"/>
    </row>
    <row r="158" spans="1:18" ht="17.25" customHeight="1" x14ac:dyDescent="0.5">
      <c r="C158" s="2" t="s">
        <v>823</v>
      </c>
      <c r="D158" s="2"/>
      <c r="E158" s="2"/>
      <c r="F158" s="2"/>
      <c r="G158" s="2"/>
      <c r="H158" s="2"/>
      <c r="I158" s="2"/>
      <c r="J158" s="2"/>
    </row>
    <row r="159" spans="1:18" ht="17.25" customHeight="1" x14ac:dyDescent="0.5">
      <c r="B159" t="s">
        <v>147</v>
      </c>
      <c r="C159" s="2" t="s">
        <v>819</v>
      </c>
      <c r="D159" s="2"/>
      <c r="E159" s="2"/>
      <c r="F159" s="2"/>
      <c r="G159" s="2"/>
      <c r="H159" s="2"/>
      <c r="I159" s="2"/>
      <c r="J159" s="2"/>
    </row>
    <row r="160" spans="1:18" ht="17.25" customHeight="1" x14ac:dyDescent="0.5">
      <c r="C160" t="s">
        <v>822</v>
      </c>
      <c r="D160" s="2"/>
      <c r="E160" s="2"/>
      <c r="F160" s="2"/>
      <c r="G160" s="2"/>
      <c r="H160" s="2"/>
      <c r="I160" s="2"/>
      <c r="J160" s="2"/>
    </row>
    <row r="161" spans="1:10" ht="17.25" customHeight="1" x14ac:dyDescent="0.5">
      <c r="C161" s="2" t="s">
        <v>823</v>
      </c>
      <c r="D161" s="2"/>
      <c r="E161" s="2"/>
      <c r="F161" s="2"/>
      <c r="G161" s="2"/>
      <c r="H161" s="2"/>
      <c r="I161" s="2"/>
      <c r="J161" s="2"/>
    </row>
    <row r="162" spans="1:10" ht="17.25" customHeight="1" x14ac:dyDescent="0.5">
      <c r="B162" t="s">
        <v>911</v>
      </c>
      <c r="C162" s="2" t="s">
        <v>819</v>
      </c>
      <c r="D162" s="2"/>
      <c r="E162" s="2"/>
      <c r="F162" s="2"/>
      <c r="G162" s="2"/>
      <c r="H162" s="2"/>
      <c r="I162" s="2"/>
      <c r="J162" s="2"/>
    </row>
    <row r="163" spans="1:10" ht="17.25" customHeight="1" x14ac:dyDescent="0.5">
      <c r="C163" t="s">
        <v>822</v>
      </c>
      <c r="D163" s="2"/>
      <c r="E163" s="2"/>
      <c r="F163" s="2"/>
      <c r="G163" s="2"/>
      <c r="H163" s="2"/>
      <c r="I163" s="2"/>
      <c r="J163" s="2"/>
    </row>
    <row r="164" spans="1:10" ht="17.25" customHeight="1" x14ac:dyDescent="0.5">
      <c r="C164" s="2" t="s">
        <v>823</v>
      </c>
      <c r="D164" s="2"/>
      <c r="E164" s="2"/>
      <c r="F164" s="2"/>
      <c r="G164" s="2"/>
      <c r="H164" s="2"/>
      <c r="I164" s="2"/>
      <c r="J164" s="2"/>
    </row>
    <row r="165" spans="1:10" ht="17.25" customHeight="1" x14ac:dyDescent="0.5">
      <c r="A165" t="s">
        <v>134</v>
      </c>
      <c r="B165" t="s">
        <v>148</v>
      </c>
      <c r="C165" s="2" t="s">
        <v>819</v>
      </c>
      <c r="D165" s="2"/>
      <c r="E165" s="2"/>
      <c r="F165" s="2"/>
      <c r="G165" s="2"/>
      <c r="H165" s="2"/>
      <c r="I165" s="2"/>
      <c r="J165" s="2"/>
    </row>
    <row r="166" spans="1:10" ht="17.25" customHeight="1" x14ac:dyDescent="0.5">
      <c r="C166" t="s">
        <v>822</v>
      </c>
      <c r="D166" s="2"/>
      <c r="E166" s="2"/>
      <c r="F166" s="2"/>
      <c r="G166" s="2"/>
      <c r="H166" s="2"/>
      <c r="I166" s="2"/>
      <c r="J166" s="2"/>
    </row>
    <row r="167" spans="1:10" ht="17.25" customHeight="1" x14ac:dyDescent="0.5">
      <c r="C167" s="2" t="s">
        <v>823</v>
      </c>
      <c r="D167" s="2"/>
      <c r="E167" s="2"/>
      <c r="F167" s="2"/>
      <c r="G167" s="2"/>
      <c r="H167" s="2"/>
      <c r="I167" s="2"/>
      <c r="J167" s="2"/>
    </row>
    <row r="168" spans="1:10" ht="17.25" customHeight="1" x14ac:dyDescent="0.5">
      <c r="B168" t="s">
        <v>140</v>
      </c>
      <c r="C168" s="2" t="s">
        <v>819</v>
      </c>
      <c r="D168" s="2"/>
      <c r="E168" s="2"/>
      <c r="F168" s="2"/>
      <c r="G168" s="2"/>
      <c r="H168" s="2"/>
      <c r="I168" s="2"/>
      <c r="J168" s="2"/>
    </row>
    <row r="169" spans="1:10" ht="17.25" customHeight="1" x14ac:dyDescent="0.5">
      <c r="C169" t="s">
        <v>822</v>
      </c>
      <c r="D169" s="2"/>
      <c r="E169" s="2"/>
      <c r="F169" s="2"/>
      <c r="G169" s="2"/>
      <c r="H169" s="2"/>
      <c r="I169" s="2"/>
      <c r="J169" s="2"/>
    </row>
    <row r="170" spans="1:10" ht="17.25" customHeight="1" x14ac:dyDescent="0.5">
      <c r="C170" s="2" t="s">
        <v>823</v>
      </c>
      <c r="D170" s="2"/>
      <c r="E170" s="2"/>
      <c r="F170" s="2"/>
      <c r="G170" s="2"/>
      <c r="H170" s="2"/>
      <c r="I170" s="2"/>
      <c r="J170" s="2"/>
    </row>
    <row r="171" spans="1:10" ht="17.25" customHeight="1" x14ac:dyDescent="0.5">
      <c r="B171" t="s">
        <v>147</v>
      </c>
      <c r="C171" s="2" t="s">
        <v>819</v>
      </c>
      <c r="D171" s="2"/>
      <c r="E171" s="2"/>
      <c r="F171" s="2"/>
      <c r="G171" s="2"/>
      <c r="H171" s="2"/>
      <c r="I171" s="2"/>
      <c r="J171" s="2"/>
    </row>
    <row r="172" spans="1:10" ht="17.25" customHeight="1" x14ac:dyDescent="0.5">
      <c r="C172" t="s">
        <v>822</v>
      </c>
      <c r="D172" s="2"/>
      <c r="E172" s="2"/>
      <c r="F172" s="2"/>
      <c r="G172" s="2"/>
      <c r="H172" s="2"/>
      <c r="I172" s="2"/>
      <c r="J172" s="2"/>
    </row>
    <row r="173" spans="1:10" ht="17.25" customHeight="1" x14ac:dyDescent="0.5">
      <c r="C173" s="2" t="s">
        <v>823</v>
      </c>
      <c r="D173" s="2"/>
      <c r="E173" s="2"/>
      <c r="F173" s="2"/>
      <c r="G173" s="2"/>
      <c r="H173" s="2"/>
      <c r="I173" s="2"/>
      <c r="J173" s="2"/>
    </row>
    <row r="174" spans="1:10" ht="17.25" customHeight="1" x14ac:dyDescent="0.5">
      <c r="B174" t="s">
        <v>911</v>
      </c>
      <c r="C174" s="2" t="s">
        <v>819</v>
      </c>
      <c r="D174" s="2"/>
      <c r="E174" s="2"/>
      <c r="F174" s="2"/>
      <c r="G174" s="2"/>
      <c r="H174" s="2"/>
      <c r="I174" s="2"/>
      <c r="J174" s="2"/>
    </row>
    <row r="175" spans="1:10" ht="17.25" customHeight="1" x14ac:dyDescent="0.5">
      <c r="C175" t="s">
        <v>822</v>
      </c>
      <c r="D175" s="2"/>
      <c r="E175" s="2"/>
      <c r="F175" s="2"/>
      <c r="G175" s="2"/>
      <c r="H175" s="2"/>
      <c r="I175" s="2"/>
      <c r="J175" s="2"/>
    </row>
    <row r="176" spans="1:10" ht="17.25" customHeight="1" x14ac:dyDescent="0.5">
      <c r="C176" s="2" t="s">
        <v>823</v>
      </c>
      <c r="D176" s="2"/>
      <c r="E176" s="2"/>
      <c r="F176" s="2"/>
      <c r="G176" s="2"/>
      <c r="H176" s="2"/>
      <c r="I176" s="2"/>
      <c r="J176" s="2"/>
    </row>
    <row r="177" spans="1:10" ht="17.25" customHeight="1" x14ac:dyDescent="0.5">
      <c r="A177" t="s">
        <v>137</v>
      </c>
      <c r="B177" t="s">
        <v>148</v>
      </c>
      <c r="C177" s="2" t="s">
        <v>819</v>
      </c>
      <c r="D177" s="2"/>
      <c r="E177" s="2"/>
      <c r="F177" s="2"/>
      <c r="G177" s="2"/>
      <c r="H177" s="2"/>
      <c r="I177" s="2"/>
      <c r="J177" s="2"/>
    </row>
    <row r="178" spans="1:10" ht="17.25" customHeight="1" x14ac:dyDescent="0.5">
      <c r="C178" t="s">
        <v>822</v>
      </c>
      <c r="D178" s="2"/>
      <c r="E178" s="2"/>
      <c r="F178" s="2"/>
      <c r="G178" s="2"/>
      <c r="H178" s="2"/>
      <c r="I178" s="2"/>
      <c r="J178" s="2"/>
    </row>
    <row r="179" spans="1:10" ht="17.25" customHeight="1" x14ac:dyDescent="0.5">
      <c r="C179" s="2" t="s">
        <v>823</v>
      </c>
      <c r="D179" s="2"/>
      <c r="E179" s="2"/>
      <c r="F179" s="2"/>
      <c r="G179" s="2"/>
      <c r="H179" s="2"/>
      <c r="I179" s="2"/>
      <c r="J179" s="2"/>
    </row>
    <row r="180" spans="1:10" ht="17.25" customHeight="1" x14ac:dyDescent="0.5">
      <c r="B180" t="s">
        <v>140</v>
      </c>
      <c r="C180" s="2" t="s">
        <v>819</v>
      </c>
      <c r="D180" s="2"/>
      <c r="E180" s="2"/>
      <c r="F180" s="2"/>
      <c r="G180" s="2"/>
      <c r="H180" s="2"/>
      <c r="I180" s="2"/>
      <c r="J180" s="2"/>
    </row>
    <row r="181" spans="1:10" ht="17.25" customHeight="1" x14ac:dyDescent="0.5">
      <c r="C181" t="s">
        <v>822</v>
      </c>
      <c r="D181" s="2"/>
      <c r="E181" s="2"/>
      <c r="F181" s="2"/>
      <c r="G181" s="2"/>
      <c r="H181" s="2"/>
      <c r="I181" s="2"/>
      <c r="J181" s="2"/>
    </row>
    <row r="182" spans="1:10" ht="17.25" customHeight="1" x14ac:dyDescent="0.5">
      <c r="C182" s="2" t="s">
        <v>823</v>
      </c>
      <c r="D182" s="2"/>
      <c r="E182" s="2"/>
      <c r="F182" s="2"/>
      <c r="G182" s="2"/>
      <c r="H182" s="2"/>
      <c r="I182" s="2"/>
      <c r="J182" s="2"/>
    </row>
    <row r="183" spans="1:10" ht="17.25" customHeight="1" x14ac:dyDescent="0.5">
      <c r="B183" t="s">
        <v>147</v>
      </c>
      <c r="C183" s="2" t="s">
        <v>819</v>
      </c>
      <c r="D183" s="2"/>
      <c r="E183" s="2"/>
      <c r="F183" s="2"/>
      <c r="G183" s="2"/>
      <c r="H183" s="2"/>
      <c r="I183" s="2"/>
      <c r="J183" s="2"/>
    </row>
    <row r="184" spans="1:10" ht="17.25" customHeight="1" x14ac:dyDescent="0.5">
      <c r="C184" t="s">
        <v>822</v>
      </c>
      <c r="D184" s="2"/>
      <c r="E184" s="2"/>
      <c r="F184" s="2"/>
      <c r="G184" s="2"/>
      <c r="H184" s="2"/>
      <c r="I184" s="2"/>
      <c r="J184" s="2"/>
    </row>
    <row r="185" spans="1:10" ht="17.25" customHeight="1" x14ac:dyDescent="0.5">
      <c r="C185" s="2" t="s">
        <v>823</v>
      </c>
      <c r="D185" s="2"/>
      <c r="E185" s="2"/>
      <c r="F185" s="2"/>
      <c r="G185" s="2"/>
      <c r="H185" s="2"/>
      <c r="I185" s="2"/>
      <c r="J185" s="2"/>
    </row>
    <row r="186" spans="1:10" ht="17.25" customHeight="1" x14ac:dyDescent="0.5">
      <c r="B186" t="s">
        <v>911</v>
      </c>
      <c r="C186" s="2" t="s">
        <v>819</v>
      </c>
      <c r="D186" s="2"/>
      <c r="E186" s="2"/>
      <c r="F186" s="2"/>
      <c r="G186" s="2"/>
      <c r="H186" s="2"/>
      <c r="I186" s="2"/>
      <c r="J186" s="2"/>
    </row>
    <row r="187" spans="1:10" ht="17.25" customHeight="1" x14ac:dyDescent="0.5">
      <c r="C187" t="s">
        <v>822</v>
      </c>
      <c r="D187" s="2"/>
      <c r="E187" s="2"/>
      <c r="F187" s="2"/>
      <c r="G187" s="2"/>
      <c r="H187" s="2"/>
      <c r="I187" s="2"/>
      <c r="J187" s="2"/>
    </row>
    <row r="188" spans="1:10" ht="17.25" customHeight="1" x14ac:dyDescent="0.5">
      <c r="C188" s="2" t="s">
        <v>823</v>
      </c>
      <c r="D188" s="2"/>
      <c r="E188" s="2"/>
      <c r="F188" s="2"/>
      <c r="G188" s="2"/>
      <c r="H188" s="2"/>
      <c r="I188" s="2"/>
      <c r="J188" s="2"/>
    </row>
    <row r="189" spans="1:10" ht="17.25" customHeight="1" x14ac:dyDescent="0.5">
      <c r="A189" t="s">
        <v>138</v>
      </c>
      <c r="B189" t="s">
        <v>148</v>
      </c>
      <c r="C189" s="2" t="s">
        <v>819</v>
      </c>
      <c r="D189" s="2"/>
      <c r="E189" s="2"/>
      <c r="F189" s="2"/>
      <c r="G189" s="2"/>
      <c r="H189" s="2"/>
      <c r="I189" s="2"/>
      <c r="J189" s="2"/>
    </row>
    <row r="190" spans="1:10" ht="17.25" customHeight="1" x14ac:dyDescent="0.5">
      <c r="C190" t="s">
        <v>822</v>
      </c>
      <c r="D190" s="2"/>
      <c r="E190" s="2"/>
      <c r="F190" s="2"/>
      <c r="G190" s="2"/>
      <c r="H190" s="2"/>
      <c r="I190" s="2"/>
      <c r="J190" s="2"/>
    </row>
    <row r="191" spans="1:10" ht="17.25" customHeight="1" x14ac:dyDescent="0.5">
      <c r="C191" s="2" t="s">
        <v>823</v>
      </c>
      <c r="D191" s="2"/>
      <c r="E191" s="2"/>
      <c r="F191" s="2"/>
      <c r="G191" s="2"/>
      <c r="H191" s="2"/>
      <c r="I191" s="2"/>
      <c r="J191" s="2"/>
    </row>
    <row r="192" spans="1:10" ht="17.25" customHeight="1" x14ac:dyDescent="0.5">
      <c r="B192" t="s">
        <v>140</v>
      </c>
      <c r="C192" s="2" t="s">
        <v>819</v>
      </c>
      <c r="D192" s="2"/>
      <c r="E192" s="2"/>
      <c r="F192" s="2"/>
      <c r="G192" s="2"/>
      <c r="H192" s="2"/>
      <c r="I192" s="2"/>
      <c r="J192" s="2"/>
    </row>
    <row r="193" spans="1:10" ht="17.25" customHeight="1" x14ac:dyDescent="0.5">
      <c r="C193" t="s">
        <v>822</v>
      </c>
      <c r="D193" s="2"/>
      <c r="E193" s="2"/>
      <c r="F193" s="2"/>
      <c r="G193" s="2"/>
      <c r="H193" s="2"/>
      <c r="I193" s="2"/>
      <c r="J193" s="2"/>
    </row>
    <row r="194" spans="1:10" ht="17.25" customHeight="1" x14ac:dyDescent="0.5">
      <c r="C194" s="2" t="s">
        <v>823</v>
      </c>
      <c r="D194" s="2"/>
      <c r="E194" s="2"/>
      <c r="F194" s="2"/>
      <c r="G194" s="2"/>
      <c r="H194" s="2"/>
      <c r="I194" s="2"/>
      <c r="J194" s="2"/>
    </row>
    <row r="195" spans="1:10" ht="17.25" customHeight="1" x14ac:dyDescent="0.5">
      <c r="B195" t="s">
        <v>147</v>
      </c>
      <c r="C195" s="2" t="s">
        <v>819</v>
      </c>
      <c r="D195" s="2"/>
      <c r="E195" s="2"/>
      <c r="F195" s="2"/>
      <c r="G195" s="2"/>
      <c r="H195" s="2"/>
      <c r="I195" s="2"/>
      <c r="J195" s="2"/>
    </row>
    <row r="196" spans="1:10" ht="17.25" customHeight="1" x14ac:dyDescent="0.5">
      <c r="C196" t="s">
        <v>822</v>
      </c>
      <c r="D196" s="2"/>
      <c r="E196" s="2"/>
      <c r="F196" s="2"/>
      <c r="G196" s="2"/>
      <c r="H196" s="2"/>
      <c r="I196" s="2"/>
      <c r="J196" s="2"/>
    </row>
    <row r="197" spans="1:10" ht="17.25" customHeight="1" x14ac:dyDescent="0.5">
      <c r="C197" s="2" t="s">
        <v>823</v>
      </c>
      <c r="D197" s="2"/>
      <c r="E197" s="2"/>
      <c r="F197" s="2"/>
      <c r="G197" s="2"/>
      <c r="H197" s="2"/>
      <c r="I197" s="2"/>
      <c r="J197" s="2"/>
    </row>
    <row r="198" spans="1:10" ht="17.25" customHeight="1" x14ac:dyDescent="0.5">
      <c r="B198" t="s">
        <v>911</v>
      </c>
      <c r="C198" s="2" t="s">
        <v>819</v>
      </c>
      <c r="D198" s="2"/>
      <c r="E198" s="2"/>
      <c r="F198" s="2"/>
      <c r="G198" s="2"/>
      <c r="H198" s="2"/>
      <c r="I198" s="2"/>
      <c r="J198" s="2"/>
    </row>
    <row r="199" spans="1:10" ht="17.25" customHeight="1" x14ac:dyDescent="0.5">
      <c r="C199" t="s">
        <v>822</v>
      </c>
      <c r="D199" s="2"/>
      <c r="E199" s="2"/>
      <c r="F199" s="2"/>
      <c r="G199" s="2"/>
      <c r="H199" s="2"/>
      <c r="I199" s="2"/>
      <c r="J199" s="2"/>
    </row>
    <row r="200" spans="1:10" ht="17.25" customHeight="1" x14ac:dyDescent="0.5">
      <c r="C200" s="2" t="s">
        <v>823</v>
      </c>
      <c r="D200" s="2"/>
      <c r="E200" s="2"/>
      <c r="F200" s="2"/>
      <c r="G200" s="2"/>
      <c r="H200" s="2"/>
      <c r="I200" s="2"/>
      <c r="J200" s="2"/>
    </row>
    <row r="201" spans="1:10" ht="17.25" customHeight="1" x14ac:dyDescent="0.5">
      <c r="A201" t="s">
        <v>133</v>
      </c>
      <c r="B201" t="s">
        <v>148</v>
      </c>
      <c r="C201" s="2" t="s">
        <v>819</v>
      </c>
      <c r="D201" s="2"/>
      <c r="E201" s="2"/>
      <c r="F201" s="2"/>
      <c r="G201" s="2"/>
      <c r="H201" s="2"/>
      <c r="I201" s="2"/>
      <c r="J201" s="2"/>
    </row>
    <row r="202" spans="1:10" ht="17.25" customHeight="1" x14ac:dyDescent="0.5">
      <c r="C202" t="s">
        <v>822</v>
      </c>
      <c r="D202" s="2"/>
      <c r="E202" s="2"/>
      <c r="F202" s="2"/>
      <c r="G202" s="2"/>
      <c r="H202" s="2"/>
      <c r="I202" s="2"/>
      <c r="J202" s="2"/>
    </row>
    <row r="203" spans="1:10" ht="17.25" customHeight="1" x14ac:dyDescent="0.5">
      <c r="C203" s="2" t="s">
        <v>823</v>
      </c>
      <c r="D203" s="2"/>
      <c r="E203" s="2"/>
      <c r="F203" s="2"/>
      <c r="G203" s="2"/>
      <c r="H203" s="2"/>
      <c r="I203" s="2"/>
      <c r="J203" s="2"/>
    </row>
    <row r="204" spans="1:10" ht="17.25" customHeight="1" x14ac:dyDescent="0.5">
      <c r="B204" t="s">
        <v>140</v>
      </c>
      <c r="C204" s="2" t="s">
        <v>819</v>
      </c>
      <c r="D204" s="2"/>
      <c r="E204" s="2"/>
      <c r="F204" s="2"/>
      <c r="G204" s="2"/>
      <c r="H204" s="2"/>
      <c r="I204" s="2"/>
      <c r="J204" s="2"/>
    </row>
    <row r="205" spans="1:10" ht="17.25" customHeight="1" x14ac:dyDescent="0.5">
      <c r="C205" t="s">
        <v>822</v>
      </c>
      <c r="D205" s="2"/>
      <c r="E205" s="2"/>
      <c r="F205" s="2"/>
      <c r="G205" s="2"/>
      <c r="H205" s="2"/>
      <c r="I205" s="2"/>
      <c r="J205" s="2"/>
    </row>
    <row r="206" spans="1:10" ht="17.25" customHeight="1" x14ac:dyDescent="0.5">
      <c r="C206" s="2" t="s">
        <v>823</v>
      </c>
      <c r="D206" s="2"/>
      <c r="E206" s="2"/>
      <c r="F206" s="2"/>
      <c r="G206" s="2"/>
      <c r="H206" s="2"/>
      <c r="I206" s="2"/>
      <c r="J206" s="2"/>
    </row>
    <row r="207" spans="1:10" ht="17.25" customHeight="1" x14ac:dyDescent="0.5">
      <c r="B207" t="s">
        <v>147</v>
      </c>
      <c r="C207" s="2" t="s">
        <v>819</v>
      </c>
      <c r="D207" s="2"/>
      <c r="E207" s="2"/>
      <c r="F207" s="2"/>
      <c r="G207" s="2"/>
      <c r="H207" s="2"/>
      <c r="I207" s="2"/>
      <c r="J207" s="2"/>
    </row>
    <row r="208" spans="1:10" ht="17.25" customHeight="1" x14ac:dyDescent="0.5">
      <c r="C208" t="s">
        <v>822</v>
      </c>
      <c r="D208" s="2"/>
      <c r="E208" s="2"/>
      <c r="F208" s="2"/>
      <c r="G208" s="2"/>
      <c r="H208" s="2"/>
      <c r="I208" s="2"/>
      <c r="J208" s="2"/>
    </row>
    <row r="209" spans="1:10" ht="17.25" customHeight="1" x14ac:dyDescent="0.5">
      <c r="C209" s="2" t="s">
        <v>823</v>
      </c>
      <c r="D209" s="2"/>
      <c r="E209" s="2"/>
      <c r="F209" s="2"/>
      <c r="G209" s="2"/>
      <c r="H209" s="2"/>
      <c r="I209" s="2"/>
      <c r="J209" s="2"/>
    </row>
    <row r="210" spans="1:10" ht="17.25" customHeight="1" x14ac:dyDescent="0.5">
      <c r="B210" t="s">
        <v>911</v>
      </c>
      <c r="C210" s="2" t="s">
        <v>819</v>
      </c>
      <c r="D210" s="2"/>
      <c r="E210" s="2"/>
      <c r="F210" s="2"/>
      <c r="G210" s="2"/>
      <c r="H210" s="2"/>
      <c r="I210" s="2"/>
      <c r="J210" s="2"/>
    </row>
    <row r="211" spans="1:10" ht="17.25" customHeight="1" x14ac:dyDescent="0.5">
      <c r="C211" t="s">
        <v>822</v>
      </c>
      <c r="D211" s="2"/>
      <c r="E211" s="2"/>
      <c r="F211" s="2"/>
      <c r="G211" s="2"/>
      <c r="H211" s="2"/>
      <c r="I211" s="2"/>
      <c r="J211" s="2"/>
    </row>
    <row r="212" spans="1:10" ht="17.25" customHeight="1" x14ac:dyDescent="0.5">
      <c r="C212" s="2" t="s">
        <v>823</v>
      </c>
      <c r="D212" s="2"/>
      <c r="E212" s="2"/>
      <c r="F212" s="2"/>
      <c r="G212" s="2"/>
      <c r="H212" s="2"/>
      <c r="I212" s="2"/>
      <c r="J212" s="2"/>
    </row>
    <row r="213" spans="1:10" ht="17.25" customHeight="1" x14ac:dyDescent="0.5">
      <c r="A213" t="s">
        <v>143</v>
      </c>
      <c r="B213" t="s">
        <v>148</v>
      </c>
      <c r="C213" s="2" t="s">
        <v>819</v>
      </c>
      <c r="D213" s="2"/>
      <c r="E213" s="2"/>
      <c r="F213" s="2"/>
      <c r="G213" s="2"/>
      <c r="H213" s="2"/>
      <c r="I213" s="2"/>
      <c r="J213" s="2"/>
    </row>
    <row r="214" spans="1:10" ht="17.25" customHeight="1" x14ac:dyDescent="0.5">
      <c r="C214" t="s">
        <v>822</v>
      </c>
      <c r="D214" s="2"/>
      <c r="E214" s="2"/>
      <c r="F214" s="2"/>
      <c r="G214" s="2"/>
      <c r="H214" s="2"/>
      <c r="I214" s="2"/>
      <c r="J214" s="2"/>
    </row>
    <row r="215" spans="1:10" ht="17.25" customHeight="1" x14ac:dyDescent="0.5">
      <c r="C215" s="2" t="s">
        <v>823</v>
      </c>
      <c r="D215" s="2"/>
      <c r="E215" s="2"/>
      <c r="F215" s="2"/>
      <c r="G215" s="2"/>
      <c r="H215" s="2"/>
      <c r="I215" s="2"/>
      <c r="J215" s="2"/>
    </row>
    <row r="216" spans="1:10" ht="17.25" customHeight="1" x14ac:dyDescent="0.5">
      <c r="B216" t="s">
        <v>140</v>
      </c>
      <c r="C216" s="2" t="s">
        <v>819</v>
      </c>
      <c r="D216" s="2"/>
      <c r="E216" s="2"/>
      <c r="F216" s="2"/>
      <c r="G216" s="2"/>
      <c r="H216" s="2"/>
      <c r="I216" s="2"/>
      <c r="J216" s="2"/>
    </row>
    <row r="217" spans="1:10" ht="17.25" customHeight="1" x14ac:dyDescent="0.5">
      <c r="C217" t="s">
        <v>822</v>
      </c>
      <c r="D217" s="2"/>
      <c r="E217" s="2"/>
      <c r="F217" s="2"/>
      <c r="G217" s="2"/>
      <c r="H217" s="2"/>
      <c r="I217" s="2"/>
      <c r="J217" s="2"/>
    </row>
    <row r="218" spans="1:10" ht="17.25" customHeight="1" x14ac:dyDescent="0.5">
      <c r="C218" s="2" t="s">
        <v>823</v>
      </c>
      <c r="D218" s="2"/>
      <c r="E218" s="2"/>
      <c r="F218" s="2"/>
      <c r="G218" s="2"/>
      <c r="H218" s="2"/>
      <c r="I218" s="2"/>
      <c r="J218" s="2"/>
    </row>
    <row r="219" spans="1:10" ht="17.25" customHeight="1" x14ac:dyDescent="0.5">
      <c r="B219" t="s">
        <v>147</v>
      </c>
      <c r="C219" s="2" t="s">
        <v>819</v>
      </c>
      <c r="D219" s="2"/>
      <c r="E219" s="2"/>
      <c r="F219" s="2"/>
      <c r="G219" s="2"/>
      <c r="H219" s="2"/>
      <c r="I219" s="2"/>
      <c r="J219" s="2"/>
    </row>
    <row r="220" spans="1:10" ht="17.25" customHeight="1" x14ac:dyDescent="0.5">
      <c r="C220" t="s">
        <v>822</v>
      </c>
      <c r="D220" s="2"/>
      <c r="E220" s="2"/>
      <c r="F220" s="2"/>
      <c r="G220" s="2"/>
      <c r="H220" s="2"/>
      <c r="I220" s="2"/>
      <c r="J220" s="2"/>
    </row>
    <row r="221" spans="1:10" ht="17.25" customHeight="1" x14ac:dyDescent="0.5">
      <c r="C221" s="2" t="s">
        <v>823</v>
      </c>
      <c r="D221" s="2"/>
      <c r="E221" s="2"/>
      <c r="F221" s="2"/>
      <c r="G221" s="2"/>
      <c r="H221" s="2"/>
      <c r="I221" s="2"/>
      <c r="J221" s="2"/>
    </row>
    <row r="222" spans="1:10" ht="17.25" customHeight="1" x14ac:dyDescent="0.5">
      <c r="B222" t="s">
        <v>911</v>
      </c>
      <c r="C222" s="2" t="s">
        <v>819</v>
      </c>
      <c r="D222" s="2"/>
      <c r="E222" s="2"/>
      <c r="F222" s="2"/>
      <c r="G222" s="2"/>
      <c r="H222" s="2"/>
      <c r="I222" s="2"/>
      <c r="J222" s="2"/>
    </row>
    <row r="223" spans="1:10" ht="17.25" customHeight="1" x14ac:dyDescent="0.5">
      <c r="C223" t="s">
        <v>822</v>
      </c>
      <c r="D223" s="2"/>
      <c r="E223" s="2"/>
      <c r="F223" s="2"/>
      <c r="G223" s="2"/>
      <c r="H223" s="2"/>
      <c r="I223" s="2"/>
      <c r="J223" s="2"/>
    </row>
    <row r="224" spans="1:10" ht="17.25" customHeight="1" x14ac:dyDescent="0.5">
      <c r="C224" s="2" t="s">
        <v>823</v>
      </c>
      <c r="D224" s="2"/>
      <c r="E224" s="2"/>
      <c r="F224" s="2"/>
      <c r="G224" s="2"/>
      <c r="H224" s="2"/>
      <c r="I224" s="2"/>
      <c r="J224" s="2"/>
    </row>
    <row r="225" spans="1:10" ht="17.25" customHeight="1" x14ac:dyDescent="0.5">
      <c r="A225" t="s">
        <v>144</v>
      </c>
      <c r="B225" t="s">
        <v>148</v>
      </c>
      <c r="C225" s="2" t="s">
        <v>819</v>
      </c>
      <c r="D225" s="2"/>
      <c r="E225" s="2"/>
      <c r="F225" s="2"/>
      <c r="G225" s="2"/>
      <c r="H225" s="2"/>
      <c r="I225" s="2"/>
      <c r="J225" s="2"/>
    </row>
    <row r="226" spans="1:10" ht="17.25" customHeight="1" x14ac:dyDescent="0.5">
      <c r="C226" t="s">
        <v>822</v>
      </c>
      <c r="D226" s="2"/>
      <c r="E226" s="2"/>
      <c r="F226" s="2"/>
      <c r="G226" s="2"/>
      <c r="H226" s="2"/>
      <c r="I226" s="2"/>
      <c r="J226" s="2"/>
    </row>
    <row r="227" spans="1:10" ht="17.25" customHeight="1" x14ac:dyDescent="0.5">
      <c r="C227" s="2" t="s">
        <v>823</v>
      </c>
      <c r="D227" s="2"/>
      <c r="E227" s="2"/>
      <c r="F227" s="2"/>
      <c r="G227" s="2"/>
      <c r="H227" s="2"/>
      <c r="I227" s="2"/>
      <c r="J227" s="2"/>
    </row>
    <row r="228" spans="1:10" ht="17.25" customHeight="1" x14ac:dyDescent="0.5">
      <c r="B228" t="s">
        <v>140</v>
      </c>
      <c r="C228" s="2" t="s">
        <v>819</v>
      </c>
      <c r="D228" s="2"/>
      <c r="E228" s="2"/>
      <c r="F228" s="2"/>
      <c r="G228" s="2"/>
      <c r="H228" s="2"/>
      <c r="I228" s="2"/>
      <c r="J228" s="2"/>
    </row>
    <row r="229" spans="1:10" ht="17.25" customHeight="1" x14ac:dyDescent="0.5">
      <c r="C229" t="s">
        <v>822</v>
      </c>
      <c r="D229" s="2"/>
      <c r="E229" s="2"/>
      <c r="F229" s="2"/>
      <c r="G229" s="2"/>
      <c r="H229" s="2"/>
      <c r="I229" s="2"/>
      <c r="J229" s="2"/>
    </row>
    <row r="230" spans="1:10" ht="17.25" customHeight="1" x14ac:dyDescent="0.5">
      <c r="C230" s="2" t="s">
        <v>823</v>
      </c>
      <c r="D230" s="2"/>
      <c r="E230" s="2"/>
      <c r="F230" s="2"/>
      <c r="G230" s="2"/>
      <c r="H230" s="2"/>
      <c r="I230" s="2"/>
      <c r="J230" s="2"/>
    </row>
    <row r="231" spans="1:10" ht="17.25" customHeight="1" x14ac:dyDescent="0.5">
      <c r="B231" t="s">
        <v>147</v>
      </c>
      <c r="C231" s="2" t="s">
        <v>819</v>
      </c>
      <c r="D231" s="2"/>
      <c r="E231" s="2"/>
      <c r="F231" s="2"/>
      <c r="G231" s="2"/>
      <c r="H231" s="2"/>
      <c r="I231" s="2"/>
      <c r="J231" s="2"/>
    </row>
    <row r="232" spans="1:10" ht="17.25" customHeight="1" x14ac:dyDescent="0.5">
      <c r="C232" t="s">
        <v>822</v>
      </c>
      <c r="D232" s="2"/>
      <c r="E232" s="2"/>
      <c r="F232" s="2"/>
      <c r="G232" s="2"/>
      <c r="H232" s="2"/>
      <c r="I232" s="2"/>
      <c r="J232" s="2"/>
    </row>
    <row r="233" spans="1:10" ht="17.25" customHeight="1" x14ac:dyDescent="0.5">
      <c r="C233" s="2" t="s">
        <v>823</v>
      </c>
      <c r="D233" s="2"/>
      <c r="E233" s="2"/>
      <c r="F233" s="2"/>
      <c r="G233" s="2"/>
      <c r="H233" s="2"/>
      <c r="I233" s="2"/>
      <c r="J233" s="2"/>
    </row>
    <row r="234" spans="1:10" ht="17.25" customHeight="1" x14ac:dyDescent="0.5">
      <c r="B234" t="s">
        <v>911</v>
      </c>
      <c r="C234" s="2" t="s">
        <v>819</v>
      </c>
      <c r="D234" s="2"/>
      <c r="E234" s="2"/>
      <c r="F234" s="2"/>
      <c r="G234" s="2"/>
      <c r="H234" s="2"/>
      <c r="I234" s="2"/>
      <c r="J234" s="2"/>
    </row>
    <row r="235" spans="1:10" ht="17.25" customHeight="1" x14ac:dyDescent="0.5">
      <c r="C235" t="s">
        <v>822</v>
      </c>
      <c r="D235" s="2"/>
      <c r="E235" s="2"/>
      <c r="F235" s="2"/>
      <c r="G235" s="2"/>
      <c r="H235" s="2"/>
      <c r="I235" s="2"/>
      <c r="J235" s="2"/>
    </row>
    <row r="236" spans="1:10" ht="17.25" customHeight="1" x14ac:dyDescent="0.5">
      <c r="C236" s="2" t="s">
        <v>823</v>
      </c>
      <c r="D236" s="2"/>
      <c r="E236" s="2"/>
      <c r="F236" s="2"/>
      <c r="G236" s="2"/>
      <c r="H236" s="2"/>
      <c r="I236" s="2"/>
      <c r="J236" s="2"/>
    </row>
    <row r="237" spans="1:10" ht="17.25" customHeight="1" x14ac:dyDescent="0.5">
      <c r="A237" t="s">
        <v>141</v>
      </c>
      <c r="B237" t="s">
        <v>148</v>
      </c>
      <c r="C237" t="s">
        <v>819</v>
      </c>
      <c r="D237" s="2"/>
      <c r="E237" s="2"/>
      <c r="F237" s="2"/>
      <c r="G237" s="2"/>
      <c r="H237" s="2"/>
      <c r="I237" s="2"/>
      <c r="J237" s="2"/>
    </row>
    <row r="238" spans="1:10" ht="17.25" customHeight="1" x14ac:dyDescent="0.5">
      <c r="C238" t="s">
        <v>822</v>
      </c>
      <c r="D238" s="2"/>
      <c r="E238" s="2"/>
      <c r="F238" s="2"/>
      <c r="G238" s="2"/>
      <c r="H238" s="2"/>
      <c r="I238" s="2"/>
      <c r="J238" s="2"/>
    </row>
    <row r="239" spans="1:10" ht="17.25" customHeight="1" x14ac:dyDescent="0.5">
      <c r="C239" t="s">
        <v>823</v>
      </c>
      <c r="D239" s="2"/>
      <c r="E239" s="2"/>
      <c r="F239" s="2"/>
      <c r="G239" s="2"/>
      <c r="H239" s="2"/>
      <c r="I239" s="2"/>
      <c r="J239" s="2"/>
    </row>
    <row r="240" spans="1:10" ht="17.25" customHeight="1" x14ac:dyDescent="0.5">
      <c r="B240" t="s">
        <v>140</v>
      </c>
      <c r="C240" t="s">
        <v>819</v>
      </c>
      <c r="D240" s="2"/>
      <c r="E240" s="2"/>
      <c r="F240" s="2"/>
      <c r="G240" s="2"/>
      <c r="H240" s="2"/>
      <c r="I240" s="2"/>
      <c r="J240" s="2"/>
    </row>
    <row r="241" spans="1:10" ht="17.25" customHeight="1" x14ac:dyDescent="0.5">
      <c r="C241" t="s">
        <v>822</v>
      </c>
      <c r="D241" s="2"/>
      <c r="E241" s="2"/>
      <c r="F241" s="2"/>
      <c r="G241" s="2"/>
      <c r="H241" s="2"/>
      <c r="I241" s="2"/>
      <c r="J241" s="2"/>
    </row>
    <row r="242" spans="1:10" ht="17.25" customHeight="1" x14ac:dyDescent="0.5">
      <c r="C242" t="s">
        <v>823</v>
      </c>
      <c r="D242" s="2"/>
      <c r="E242" s="2"/>
      <c r="F242" s="2"/>
      <c r="G242" s="2"/>
      <c r="H242" s="2"/>
      <c r="I242" s="2"/>
      <c r="J242" s="2"/>
    </row>
    <row r="243" spans="1:10" ht="17.25" customHeight="1" x14ac:dyDescent="0.5">
      <c r="B243" t="s">
        <v>147</v>
      </c>
      <c r="C243" t="s">
        <v>819</v>
      </c>
      <c r="D243" s="2"/>
      <c r="E243" s="2"/>
      <c r="F243" s="2"/>
      <c r="G243" s="2"/>
      <c r="H243" s="2"/>
      <c r="I243" s="2"/>
      <c r="J243" s="2"/>
    </row>
    <row r="244" spans="1:10" ht="17.25" customHeight="1" x14ac:dyDescent="0.5">
      <c r="C244" t="s">
        <v>822</v>
      </c>
      <c r="D244" s="2"/>
      <c r="E244" s="2"/>
      <c r="F244" s="2"/>
      <c r="G244" s="2"/>
      <c r="H244" s="2"/>
      <c r="I244" s="2"/>
      <c r="J244" s="2"/>
    </row>
    <row r="245" spans="1:10" ht="17.25" customHeight="1" x14ac:dyDescent="0.5">
      <c r="C245" t="s">
        <v>823</v>
      </c>
      <c r="D245" s="2"/>
      <c r="E245" s="2"/>
      <c r="F245" s="2"/>
      <c r="G245" s="2"/>
      <c r="H245" s="2"/>
      <c r="I245" s="2"/>
      <c r="J245" s="2"/>
    </row>
    <row r="246" spans="1:10" ht="17.25" customHeight="1" x14ac:dyDescent="0.5">
      <c r="B246" t="s">
        <v>911</v>
      </c>
      <c r="C246" t="s">
        <v>819</v>
      </c>
      <c r="D246" s="2"/>
      <c r="E246" s="2"/>
      <c r="F246" s="2"/>
      <c r="G246" s="2"/>
      <c r="H246" s="2"/>
      <c r="I246" s="2"/>
      <c r="J246" s="2"/>
    </row>
    <row r="247" spans="1:10" ht="17.25" customHeight="1" x14ac:dyDescent="0.5">
      <c r="C247" t="s">
        <v>822</v>
      </c>
      <c r="D247" s="2"/>
      <c r="E247" s="2"/>
      <c r="F247" s="2"/>
      <c r="G247" s="2"/>
      <c r="H247" s="2"/>
      <c r="I247" s="2"/>
      <c r="J247" s="2"/>
    </row>
    <row r="248" spans="1:10" ht="17.25" customHeight="1" x14ac:dyDescent="0.5">
      <c r="C248" t="s">
        <v>823</v>
      </c>
      <c r="D248" s="2"/>
      <c r="E248" s="2"/>
      <c r="F248" s="2"/>
      <c r="G248" s="2"/>
      <c r="H248" s="2"/>
      <c r="I248" s="2"/>
      <c r="J248" s="2"/>
    </row>
    <row r="249" spans="1:10" ht="17.25" customHeight="1" x14ac:dyDescent="0.5">
      <c r="A249" t="s">
        <v>145</v>
      </c>
      <c r="B249" t="s">
        <v>148</v>
      </c>
      <c r="C249" t="s">
        <v>819</v>
      </c>
      <c r="D249" s="2"/>
      <c r="E249" s="2"/>
      <c r="F249" s="2"/>
      <c r="G249" s="2"/>
      <c r="H249" s="2"/>
      <c r="I249" s="2"/>
      <c r="J249" s="2"/>
    </row>
    <row r="250" spans="1:10" ht="17.25" customHeight="1" x14ac:dyDescent="0.5">
      <c r="C250" t="s">
        <v>822</v>
      </c>
      <c r="D250" s="2"/>
      <c r="E250" s="2"/>
      <c r="F250" s="2"/>
      <c r="G250" s="2"/>
      <c r="H250" s="2"/>
      <c r="I250" s="2"/>
      <c r="J250" s="2"/>
    </row>
    <row r="251" spans="1:10" ht="17.25" customHeight="1" x14ac:dyDescent="0.5">
      <c r="C251" t="s">
        <v>823</v>
      </c>
      <c r="D251" s="2"/>
      <c r="E251" s="2"/>
      <c r="F251" s="2"/>
      <c r="G251" s="2"/>
      <c r="H251" s="2"/>
      <c r="I251" s="2"/>
      <c r="J251" s="2"/>
    </row>
    <row r="252" spans="1:10" ht="17.25" customHeight="1" x14ac:dyDescent="0.5">
      <c r="B252" t="s">
        <v>140</v>
      </c>
      <c r="C252" t="s">
        <v>819</v>
      </c>
      <c r="D252" s="2"/>
      <c r="E252" s="2"/>
      <c r="F252" s="2"/>
      <c r="G252" s="2"/>
      <c r="H252" s="2"/>
      <c r="I252" s="2"/>
      <c r="J252" s="2"/>
    </row>
    <row r="253" spans="1:10" ht="17.25" customHeight="1" x14ac:dyDescent="0.5">
      <c r="C253" t="s">
        <v>822</v>
      </c>
      <c r="D253" s="2"/>
      <c r="E253" s="2"/>
      <c r="F253" s="2"/>
      <c r="G253" s="2"/>
      <c r="H253" s="2"/>
      <c r="I253" s="2"/>
      <c r="J253" s="2"/>
    </row>
    <row r="254" spans="1:10" ht="17.25" customHeight="1" x14ac:dyDescent="0.5">
      <c r="C254" t="s">
        <v>823</v>
      </c>
      <c r="D254" s="2"/>
      <c r="E254" s="2"/>
      <c r="F254" s="2"/>
      <c r="G254" s="2"/>
      <c r="H254" s="2"/>
      <c r="I254" s="2"/>
      <c r="J254" s="2"/>
    </row>
    <row r="255" spans="1:10" ht="17.25" customHeight="1" x14ac:dyDescent="0.5">
      <c r="B255" t="s">
        <v>147</v>
      </c>
      <c r="C255" t="s">
        <v>819</v>
      </c>
      <c r="D255" s="2"/>
      <c r="E255" s="2"/>
      <c r="F255" s="2"/>
      <c r="G255" s="2"/>
      <c r="H255" s="2"/>
      <c r="I255" s="2"/>
      <c r="J255" s="2"/>
    </row>
    <row r="256" spans="1:10" ht="17.25" customHeight="1" x14ac:dyDescent="0.5">
      <c r="C256" t="s">
        <v>822</v>
      </c>
      <c r="D256" s="2"/>
      <c r="E256" s="2"/>
      <c r="F256" s="2"/>
      <c r="G256" s="2"/>
      <c r="H256" s="2"/>
      <c r="I256" s="2"/>
      <c r="J256" s="2"/>
    </row>
    <row r="257" spans="1:10" ht="17.25" customHeight="1" x14ac:dyDescent="0.5">
      <c r="C257" t="s">
        <v>823</v>
      </c>
      <c r="D257" s="2"/>
      <c r="E257" s="2"/>
      <c r="F257" s="2"/>
      <c r="G257" s="2"/>
      <c r="H257" s="2"/>
      <c r="I257" s="2"/>
      <c r="J257" s="2"/>
    </row>
    <row r="258" spans="1:10" ht="17.25" customHeight="1" x14ac:dyDescent="0.5">
      <c r="B258" t="s">
        <v>911</v>
      </c>
      <c r="C258" t="s">
        <v>819</v>
      </c>
      <c r="D258" s="2"/>
      <c r="E258" s="2"/>
      <c r="F258" s="2"/>
      <c r="G258" s="2"/>
      <c r="H258" s="2"/>
      <c r="I258" s="2"/>
      <c r="J258" s="2"/>
    </row>
    <row r="259" spans="1:10" ht="17.25" customHeight="1" x14ac:dyDescent="0.5">
      <c r="C259" t="s">
        <v>822</v>
      </c>
      <c r="D259" s="2"/>
      <c r="E259" s="2"/>
      <c r="F259" s="2"/>
      <c r="G259" s="2"/>
      <c r="H259" s="2"/>
      <c r="I259" s="2"/>
      <c r="J259" s="2"/>
    </row>
    <row r="260" spans="1:10" ht="17.25" customHeight="1" x14ac:dyDescent="0.5">
      <c r="C260" t="s">
        <v>823</v>
      </c>
      <c r="D260" s="2"/>
      <c r="E260" s="2"/>
      <c r="F260" s="2"/>
      <c r="G260" s="2"/>
      <c r="H260" s="2"/>
      <c r="I260" s="2"/>
      <c r="J260" s="2"/>
    </row>
    <row r="261" spans="1:10" ht="17.25" customHeight="1" x14ac:dyDescent="0.5">
      <c r="A261" t="s">
        <v>132</v>
      </c>
      <c r="B261" t="s">
        <v>148</v>
      </c>
      <c r="C261" t="s">
        <v>819</v>
      </c>
      <c r="D261" s="2"/>
      <c r="E261" s="2"/>
      <c r="F261" s="2"/>
      <c r="G261" s="2"/>
      <c r="H261" s="2"/>
      <c r="I261" s="2"/>
      <c r="J261" s="2"/>
    </row>
    <row r="262" spans="1:10" ht="17.25" customHeight="1" x14ac:dyDescent="0.5">
      <c r="C262" t="s">
        <v>822</v>
      </c>
      <c r="D262" s="2"/>
      <c r="E262" s="2"/>
      <c r="F262" s="2"/>
      <c r="G262" s="2"/>
      <c r="H262" s="2"/>
      <c r="I262" s="2"/>
      <c r="J262" s="2"/>
    </row>
    <row r="263" spans="1:10" ht="17.25" customHeight="1" x14ac:dyDescent="0.5">
      <c r="C263" t="s">
        <v>823</v>
      </c>
      <c r="D263" s="2"/>
      <c r="E263" s="2"/>
      <c r="F263" s="2"/>
      <c r="G263" s="2"/>
      <c r="H263" s="2"/>
      <c r="I263" s="2"/>
      <c r="J263" s="2"/>
    </row>
    <row r="264" spans="1:10" ht="17.25" customHeight="1" x14ac:dyDescent="0.5">
      <c r="B264" t="s">
        <v>140</v>
      </c>
      <c r="C264" t="s">
        <v>819</v>
      </c>
      <c r="D264" s="2"/>
      <c r="E264" s="2"/>
      <c r="F264" s="2"/>
      <c r="G264" s="2"/>
      <c r="H264" s="2"/>
      <c r="I264" s="2"/>
      <c r="J264" s="2"/>
    </row>
    <row r="265" spans="1:10" ht="17.25" customHeight="1" x14ac:dyDescent="0.5">
      <c r="C265" t="s">
        <v>822</v>
      </c>
      <c r="D265" s="2"/>
      <c r="E265" s="2"/>
      <c r="F265" s="2"/>
      <c r="G265" s="2"/>
      <c r="H265" s="2"/>
      <c r="I265" s="2"/>
      <c r="J265" s="2"/>
    </row>
    <row r="266" spans="1:10" ht="17.25" customHeight="1" x14ac:dyDescent="0.5">
      <c r="C266" t="s">
        <v>823</v>
      </c>
      <c r="D266" s="2"/>
      <c r="E266" s="2"/>
      <c r="F266" s="2"/>
      <c r="G266" s="2"/>
      <c r="H266" s="2"/>
      <c r="I266" s="2"/>
      <c r="J266" s="2"/>
    </row>
    <row r="267" spans="1:10" ht="17.25" customHeight="1" x14ac:dyDescent="0.5">
      <c r="B267" t="s">
        <v>147</v>
      </c>
      <c r="C267" t="s">
        <v>819</v>
      </c>
      <c r="D267" s="2"/>
      <c r="E267" s="2"/>
      <c r="F267" s="2"/>
      <c r="G267" s="2"/>
      <c r="H267" s="2"/>
      <c r="I267" s="2"/>
      <c r="J267" s="2"/>
    </row>
    <row r="268" spans="1:10" ht="17.25" customHeight="1" x14ac:dyDescent="0.5">
      <c r="C268" t="s">
        <v>822</v>
      </c>
      <c r="D268" s="2"/>
      <c r="E268" s="2"/>
      <c r="F268" s="2"/>
      <c r="G268" s="2"/>
      <c r="H268" s="2"/>
      <c r="I268" s="2"/>
      <c r="J268" s="2"/>
    </row>
    <row r="269" spans="1:10" ht="17.25" customHeight="1" x14ac:dyDescent="0.5">
      <c r="C269" t="s">
        <v>823</v>
      </c>
      <c r="D269" s="2"/>
      <c r="E269" s="2"/>
      <c r="F269" s="2"/>
      <c r="G269" s="2"/>
      <c r="H269" s="2"/>
      <c r="I269" s="2"/>
      <c r="J269" s="2"/>
    </row>
    <row r="270" spans="1:10" ht="17.25" customHeight="1" x14ac:dyDescent="0.5">
      <c r="B270" t="s">
        <v>911</v>
      </c>
      <c r="C270" t="s">
        <v>819</v>
      </c>
      <c r="D270" s="2"/>
      <c r="E270" s="2"/>
      <c r="F270" s="2"/>
      <c r="G270" s="2"/>
      <c r="H270" s="2"/>
      <c r="I270" s="2"/>
      <c r="J270" s="2"/>
    </row>
    <row r="271" spans="1:10" ht="17.25" customHeight="1" x14ac:dyDescent="0.5">
      <c r="C271" t="s">
        <v>822</v>
      </c>
      <c r="D271" s="2"/>
      <c r="E271" s="2"/>
      <c r="F271" s="2"/>
      <c r="G271" s="2"/>
      <c r="H271" s="2"/>
      <c r="I271" s="2"/>
      <c r="J271" s="2"/>
    </row>
    <row r="272" spans="1:10" ht="17.25" customHeight="1" x14ac:dyDescent="0.5">
      <c r="C272" t="s">
        <v>823</v>
      </c>
      <c r="D272" s="2"/>
      <c r="E272" s="2"/>
      <c r="F272" s="2"/>
      <c r="G272" s="2"/>
      <c r="H272" s="2"/>
      <c r="I272" s="2"/>
      <c r="J272" s="2"/>
    </row>
    <row r="273" spans="1:10" ht="17.25" customHeight="1" x14ac:dyDescent="0.5">
      <c r="A273" t="s">
        <v>900</v>
      </c>
      <c r="B273" t="s">
        <v>148</v>
      </c>
      <c r="C273" t="s">
        <v>819</v>
      </c>
      <c r="D273" s="2"/>
      <c r="E273" s="2"/>
      <c r="F273" s="2"/>
      <c r="G273" s="2"/>
      <c r="H273" s="2"/>
      <c r="I273" s="2"/>
      <c r="J273" s="2"/>
    </row>
    <row r="274" spans="1:10" ht="17.25" customHeight="1" x14ac:dyDescent="0.5">
      <c r="C274" t="s">
        <v>822</v>
      </c>
      <c r="D274" s="2"/>
      <c r="E274" s="2"/>
      <c r="F274" s="2"/>
      <c r="G274" s="2"/>
      <c r="H274" s="2"/>
      <c r="I274" s="2"/>
      <c r="J274" s="2"/>
    </row>
    <row r="275" spans="1:10" ht="17.25" customHeight="1" x14ac:dyDescent="0.5">
      <c r="C275" t="s">
        <v>823</v>
      </c>
      <c r="D275" s="2"/>
      <c r="E275" s="2"/>
      <c r="F275" s="2"/>
      <c r="G275" s="2"/>
      <c r="H275" s="2"/>
      <c r="I275" s="2"/>
      <c r="J275" s="2"/>
    </row>
    <row r="276" spans="1:10" ht="17.25" customHeight="1" x14ac:dyDescent="0.5">
      <c r="A276" t="s">
        <v>879</v>
      </c>
      <c r="D276" s="2"/>
      <c r="E276" s="2"/>
      <c r="F276" s="2"/>
      <c r="G276" s="2"/>
      <c r="H276" s="2"/>
      <c r="I276" s="2"/>
      <c r="J276" s="2"/>
    </row>
    <row r="277" spans="1:10" ht="17.25" customHeight="1" x14ac:dyDescent="0.5">
      <c r="A277" t="s">
        <v>882</v>
      </c>
      <c r="D277" s="2"/>
      <c r="E277" s="2"/>
      <c r="F277" s="2"/>
      <c r="G277" s="2"/>
      <c r="H277" s="2"/>
      <c r="I277" s="2"/>
      <c r="J277" s="2"/>
    </row>
    <row r="278" spans="1:10" ht="17.25" customHeight="1" x14ac:dyDescent="0.5">
      <c r="A278" t="s">
        <v>886</v>
      </c>
      <c r="D278" s="2"/>
      <c r="E278" s="2"/>
      <c r="F278" s="2"/>
      <c r="G278" s="2"/>
      <c r="H278" s="2"/>
      <c r="I278" s="2"/>
      <c r="J278" s="2"/>
    </row>
  </sheetData>
  <sheetProtection selectLockedCells="1" pivotTables="0" selectUnlockedCells="1"/>
  <mergeCells count="57">
    <mergeCell ref="J33:J35"/>
    <mergeCell ref="J36:J38"/>
    <mergeCell ref="J39:J41"/>
    <mergeCell ref="AL25:AM25"/>
    <mergeCell ref="A103:J103"/>
    <mergeCell ref="J24:J26"/>
    <mergeCell ref="L36:L38"/>
    <mergeCell ref="L39:L41"/>
    <mergeCell ref="AL94:AM94"/>
    <mergeCell ref="J45:J47"/>
    <mergeCell ref="K45:K47"/>
    <mergeCell ref="L45:L47"/>
    <mergeCell ref="A1:L1"/>
    <mergeCell ref="AL78:AO78"/>
    <mergeCell ref="AL19:AO19"/>
    <mergeCell ref="AL66:AM66"/>
    <mergeCell ref="AT3:AY4"/>
    <mergeCell ref="AL3:AO3"/>
    <mergeCell ref="AL40:AO40"/>
    <mergeCell ref="J42:J44"/>
    <mergeCell ref="AL50:AQ50"/>
    <mergeCell ref="J3:J5"/>
    <mergeCell ref="J6:J8"/>
    <mergeCell ref="J9:J11"/>
    <mergeCell ref="J12:J14"/>
    <mergeCell ref="J15:J17"/>
    <mergeCell ref="J18:J20"/>
    <mergeCell ref="J21:J23"/>
    <mergeCell ref="K3:K5"/>
    <mergeCell ref="L3:L5"/>
    <mergeCell ref="K6:K8"/>
    <mergeCell ref="K9:K11"/>
    <mergeCell ref="K12:K14"/>
    <mergeCell ref="L6:L8"/>
    <mergeCell ref="L9:L11"/>
    <mergeCell ref="L12:L14"/>
    <mergeCell ref="K15:K17"/>
    <mergeCell ref="J27:J29"/>
    <mergeCell ref="J30:J32"/>
    <mergeCell ref="O103:Z103"/>
    <mergeCell ref="L42:L44"/>
    <mergeCell ref="K33:K35"/>
    <mergeCell ref="K36:K38"/>
    <mergeCell ref="K39:K41"/>
    <mergeCell ref="K42:K44"/>
    <mergeCell ref="L15:L17"/>
    <mergeCell ref="L18:L20"/>
    <mergeCell ref="L21:L23"/>
    <mergeCell ref="L24:L26"/>
    <mergeCell ref="L27:L29"/>
    <mergeCell ref="L30:L32"/>
    <mergeCell ref="L33:L35"/>
    <mergeCell ref="K18:K20"/>
    <mergeCell ref="K21:K23"/>
    <mergeCell ref="K24:K26"/>
    <mergeCell ref="K27:K29"/>
    <mergeCell ref="K30:K3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55"/>
  <sheetViews>
    <sheetView workbookViewId="0">
      <selection activeCell="K5" sqref="K5"/>
    </sheetView>
  </sheetViews>
  <sheetFormatPr baseColWidth="10" defaultColWidth="11" defaultRowHeight="18" x14ac:dyDescent="0.5"/>
  <cols>
    <col min="5" max="5" width="22.109375" customWidth="1"/>
    <col min="7" max="7" width="27.6640625" customWidth="1"/>
    <col min="9" max="9" width="19.6640625" customWidth="1"/>
    <col min="10" max="10" width="13.33203125" customWidth="1"/>
    <col min="11" max="12" width="11.44140625" customWidth="1"/>
    <col min="13" max="13" width="21.21875" customWidth="1"/>
    <col min="14" max="14" width="13.21875" customWidth="1"/>
    <col min="15" max="15" width="11.44140625" customWidth="1"/>
    <col min="16" max="16" width="12.109375" bestFit="1" customWidth="1"/>
    <col min="17" max="17" width="13.109375" bestFit="1" customWidth="1"/>
    <col min="18" max="18" width="23" customWidth="1"/>
    <col min="19" max="19" width="19.21875" customWidth="1"/>
    <col min="20" max="20" width="13.109375" bestFit="1" customWidth="1"/>
  </cols>
  <sheetData>
    <row r="1" spans="1:24" ht="36" customHeight="1" x14ac:dyDescent="0.5">
      <c r="A1" s="1621" t="s">
        <v>912</v>
      </c>
      <c r="B1" s="244" t="s">
        <v>110</v>
      </c>
      <c r="C1" s="244" t="s">
        <v>111</v>
      </c>
      <c r="D1" s="244" t="s">
        <v>913</v>
      </c>
      <c r="E1" s="244" t="s">
        <v>914</v>
      </c>
      <c r="F1" s="244" t="s">
        <v>915</v>
      </c>
      <c r="G1" s="244" t="s">
        <v>23</v>
      </c>
      <c r="H1" s="245" t="s">
        <v>46</v>
      </c>
      <c r="I1" s="245" t="s">
        <v>47</v>
      </c>
      <c r="J1" s="244" t="s">
        <v>916</v>
      </c>
      <c r="K1" s="244"/>
      <c r="M1" s="1623" t="s">
        <v>128</v>
      </c>
      <c r="N1" s="1623"/>
    </row>
    <row r="2" spans="1:24" x14ac:dyDescent="0.5">
      <c r="A2" s="1621"/>
      <c r="B2" s="2" t="s">
        <v>103</v>
      </c>
      <c r="C2" s="2" t="s">
        <v>147</v>
      </c>
      <c r="D2" s="2" t="s">
        <v>917</v>
      </c>
      <c r="E2" s="2" t="s">
        <v>129</v>
      </c>
      <c r="F2" s="2" t="s">
        <v>918</v>
      </c>
      <c r="G2" s="552" t="s">
        <v>919</v>
      </c>
      <c r="H2" s="2" t="s">
        <v>920</v>
      </c>
      <c r="I2" s="2" t="s">
        <v>921</v>
      </c>
      <c r="J2" s="554" t="s">
        <v>175</v>
      </c>
      <c r="K2" s="259">
        <v>75</v>
      </c>
      <c r="L2" s="349"/>
      <c r="M2" s="2" t="s">
        <v>129</v>
      </c>
      <c r="N2" s="2">
        <v>16.5</v>
      </c>
    </row>
    <row r="3" spans="1:24" x14ac:dyDescent="0.5">
      <c r="A3" s="1621"/>
      <c r="B3" s="2" t="s">
        <v>104</v>
      </c>
      <c r="C3" s="2" t="s">
        <v>140</v>
      </c>
      <c r="D3" s="2" t="s">
        <v>922</v>
      </c>
      <c r="E3" s="2" t="s">
        <v>130</v>
      </c>
      <c r="F3" s="2"/>
      <c r="G3" s="553" t="s">
        <v>923</v>
      </c>
      <c r="H3" s="2" t="s">
        <v>924</v>
      </c>
      <c r="I3" s="2" t="s">
        <v>925</v>
      </c>
      <c r="J3" s="554" t="s">
        <v>176</v>
      </c>
      <c r="K3" s="259">
        <v>90</v>
      </c>
      <c r="L3" s="349"/>
      <c r="M3" s="2" t="s">
        <v>130</v>
      </c>
      <c r="N3" s="2">
        <v>16.5</v>
      </c>
      <c r="S3" s="1612" t="s">
        <v>926</v>
      </c>
      <c r="T3" s="1612"/>
      <c r="U3" s="1612"/>
      <c r="V3" s="1612"/>
      <c r="W3" s="1612"/>
      <c r="X3" s="1612"/>
    </row>
    <row r="4" spans="1:24" x14ac:dyDescent="0.5">
      <c r="A4" s="1621"/>
      <c r="B4" s="2" t="s">
        <v>105</v>
      </c>
      <c r="C4" s="2" t="s">
        <v>148</v>
      </c>
      <c r="D4" s="2" t="s">
        <v>927</v>
      </c>
      <c r="E4" s="2" t="s">
        <v>131</v>
      </c>
      <c r="F4" s="2"/>
      <c r="G4" s="553" t="s">
        <v>928</v>
      </c>
      <c r="H4" s="2" t="s">
        <v>929</v>
      </c>
      <c r="I4" s="2" t="s">
        <v>930</v>
      </c>
      <c r="J4" s="554" t="s">
        <v>94</v>
      </c>
      <c r="K4" s="259">
        <v>230</v>
      </c>
      <c r="L4" s="349"/>
      <c r="M4" s="2" t="s">
        <v>131</v>
      </c>
      <c r="N4" s="2">
        <v>17</v>
      </c>
      <c r="S4" s="2">
        <v>1</v>
      </c>
      <c r="T4" s="2">
        <v>2</v>
      </c>
      <c r="U4" s="2">
        <v>3</v>
      </c>
      <c r="V4" s="2">
        <v>4</v>
      </c>
      <c r="W4" s="2">
        <v>5</v>
      </c>
      <c r="X4" s="2">
        <v>6</v>
      </c>
    </row>
    <row r="5" spans="1:24" x14ac:dyDescent="0.5">
      <c r="A5" s="1621"/>
      <c r="B5" s="2" t="s">
        <v>106</v>
      </c>
      <c r="C5" s="2"/>
      <c r="D5" s="2"/>
      <c r="E5" s="4" t="s">
        <v>132</v>
      </c>
      <c r="F5" s="2"/>
      <c r="G5" s="553" t="s">
        <v>931</v>
      </c>
      <c r="H5" s="2" t="s">
        <v>932</v>
      </c>
      <c r="I5" s="2" t="s">
        <v>933</v>
      </c>
      <c r="J5" s="554" t="s">
        <v>93</v>
      </c>
      <c r="K5" s="469">
        <v>75</v>
      </c>
      <c r="M5" s="2" t="s">
        <v>132</v>
      </c>
      <c r="N5" s="2">
        <v>17</v>
      </c>
      <c r="S5" s="2"/>
      <c r="T5" s="2" t="s">
        <v>465</v>
      </c>
      <c r="U5" s="2" t="s">
        <v>798</v>
      </c>
      <c r="V5" s="2" t="s">
        <v>799</v>
      </c>
      <c r="W5" s="2" t="s">
        <v>934</v>
      </c>
      <c r="X5" s="2" t="s">
        <v>935</v>
      </c>
    </row>
    <row r="6" spans="1:24" x14ac:dyDescent="0.5">
      <c r="A6" s="1621"/>
      <c r="B6" s="2" t="s">
        <v>146</v>
      </c>
      <c r="C6" s="2"/>
      <c r="D6" s="2"/>
      <c r="E6" s="2" t="s">
        <v>133</v>
      </c>
      <c r="F6" s="2"/>
      <c r="G6" s="553" t="s">
        <v>936</v>
      </c>
      <c r="H6" s="2" t="s">
        <v>937</v>
      </c>
      <c r="I6" s="2" t="s">
        <v>938</v>
      </c>
      <c r="J6" s="554" t="s">
        <v>939</v>
      </c>
      <c r="K6" s="259">
        <v>185</v>
      </c>
      <c r="M6" s="2" t="s">
        <v>133</v>
      </c>
      <c r="N6" s="2">
        <v>11.5</v>
      </c>
      <c r="S6" s="2" t="s">
        <v>940</v>
      </c>
      <c r="T6" s="2">
        <v>0.59</v>
      </c>
      <c r="U6" s="2">
        <v>0.37</v>
      </c>
      <c r="V6" s="2">
        <v>0.56999999999999995</v>
      </c>
      <c r="W6" s="2">
        <v>0.84</v>
      </c>
      <c r="X6" s="2">
        <v>0.85</v>
      </c>
    </row>
    <row r="7" spans="1:24" x14ac:dyDescent="0.5">
      <c r="A7" s="1621"/>
      <c r="B7" s="2" t="s">
        <v>139</v>
      </c>
      <c r="C7" s="2"/>
      <c r="D7" s="2"/>
      <c r="E7" s="2" t="s">
        <v>134</v>
      </c>
      <c r="F7" s="2"/>
      <c r="G7" s="553" t="s">
        <v>941</v>
      </c>
      <c r="H7" s="2" t="s">
        <v>942</v>
      </c>
      <c r="I7" s="2" t="s">
        <v>943</v>
      </c>
      <c r="J7" s="554" t="s">
        <v>160</v>
      </c>
      <c r="K7" s="277">
        <v>90</v>
      </c>
      <c r="M7" s="2" t="s">
        <v>134</v>
      </c>
      <c r="N7" s="2">
        <v>16.5</v>
      </c>
      <c r="S7" s="2" t="s">
        <v>944</v>
      </c>
      <c r="T7" s="2">
        <v>0.47</v>
      </c>
      <c r="U7" s="2">
        <v>0.37</v>
      </c>
      <c r="V7" s="2">
        <v>0.3</v>
      </c>
      <c r="W7" s="2">
        <v>0.69</v>
      </c>
      <c r="X7" s="2">
        <v>1.07</v>
      </c>
    </row>
    <row r="8" spans="1:24" x14ac:dyDescent="0.5">
      <c r="A8" s="1621"/>
      <c r="B8" s="2"/>
      <c r="C8" s="2"/>
      <c r="D8" s="2"/>
      <c r="E8" s="2" t="s">
        <v>135</v>
      </c>
      <c r="F8" s="2"/>
      <c r="G8" s="553" t="s">
        <v>945</v>
      </c>
      <c r="H8" s="2" t="s">
        <v>245</v>
      </c>
      <c r="I8" s="2" t="s">
        <v>946</v>
      </c>
      <c r="J8" s="554" t="s">
        <v>159</v>
      </c>
      <c r="K8" s="277">
        <v>180</v>
      </c>
      <c r="M8" s="2" t="s">
        <v>135</v>
      </c>
      <c r="N8" s="2">
        <v>11.5</v>
      </c>
      <c r="S8" s="2" t="s">
        <v>947</v>
      </c>
      <c r="T8" s="2">
        <v>0.5</v>
      </c>
      <c r="U8" s="2">
        <v>0.32</v>
      </c>
      <c r="V8" s="2">
        <v>0.36</v>
      </c>
      <c r="W8" s="2">
        <v>0.62</v>
      </c>
      <c r="X8" s="2">
        <v>0.67</v>
      </c>
    </row>
    <row r="9" spans="1:24" x14ac:dyDescent="0.5">
      <c r="A9" s="1621"/>
      <c r="B9" s="2"/>
      <c r="C9" s="2"/>
      <c r="D9" s="2"/>
      <c r="E9" s="2" t="s">
        <v>136</v>
      </c>
      <c r="F9" s="2"/>
      <c r="G9" s="553" t="s">
        <v>948</v>
      </c>
      <c r="H9" s="2"/>
      <c r="I9" s="2" t="s">
        <v>949</v>
      </c>
      <c r="J9" s="554" t="s">
        <v>1114</v>
      </c>
      <c r="K9" s="2" t="e" cm="1">
        <f t="array" ref="K9:K10">0.9*'Bilan complet'!BD43:BD44</f>
        <v>#DIV/0!</v>
      </c>
      <c r="M9" s="2" t="s">
        <v>136</v>
      </c>
      <c r="N9" s="2">
        <v>10</v>
      </c>
      <c r="S9" s="2" t="s">
        <v>950</v>
      </c>
      <c r="T9" s="2">
        <v>0.66</v>
      </c>
      <c r="U9" s="2">
        <v>0.27</v>
      </c>
      <c r="V9" s="2">
        <v>0.3</v>
      </c>
      <c r="W9" s="2">
        <v>0.86</v>
      </c>
      <c r="X9" s="2">
        <v>0.96</v>
      </c>
    </row>
    <row r="10" spans="1:24" x14ac:dyDescent="0.5">
      <c r="A10" s="1621"/>
      <c r="B10" s="2"/>
      <c r="C10" s="2"/>
      <c r="D10" s="2"/>
      <c r="E10" s="2" t="s">
        <v>143</v>
      </c>
      <c r="F10" s="2"/>
      <c r="G10" s="553" t="s">
        <v>951</v>
      </c>
      <c r="H10" s="2"/>
      <c r="I10" s="2"/>
      <c r="J10" s="554"/>
      <c r="K10" s="2">
        <v>0</v>
      </c>
      <c r="M10" s="2" t="s">
        <v>137</v>
      </c>
      <c r="N10" s="2">
        <v>20</v>
      </c>
      <c r="S10" s="2" t="s">
        <v>952</v>
      </c>
      <c r="T10" s="2">
        <v>0.67</v>
      </c>
      <c r="U10" s="2">
        <v>0.37</v>
      </c>
      <c r="V10" s="2">
        <v>0.84</v>
      </c>
      <c r="W10" s="2">
        <v>0.71</v>
      </c>
      <c r="X10" s="2">
        <v>0.77</v>
      </c>
    </row>
    <row r="11" spans="1:24" x14ac:dyDescent="0.5">
      <c r="A11" s="1621"/>
      <c r="B11" s="2"/>
      <c r="C11" s="2"/>
      <c r="D11" s="2"/>
      <c r="E11" s="2" t="s">
        <v>144</v>
      </c>
      <c r="F11" s="2"/>
      <c r="G11" s="553" t="s">
        <v>953</v>
      </c>
      <c r="H11" s="245" t="s">
        <v>45</v>
      </c>
      <c r="I11" s="2"/>
      <c r="J11" s="554"/>
      <c r="K11" s="2"/>
      <c r="M11" s="2" t="s">
        <v>138</v>
      </c>
      <c r="N11" s="2">
        <v>25</v>
      </c>
      <c r="S11" s="2" t="s">
        <v>954</v>
      </c>
      <c r="T11" s="2">
        <v>0.81</v>
      </c>
      <c r="U11" s="2">
        <v>0.42</v>
      </c>
      <c r="V11" s="2">
        <v>0.96</v>
      </c>
      <c r="W11" s="2">
        <v>0.73</v>
      </c>
      <c r="X11" s="2">
        <v>0.82</v>
      </c>
    </row>
    <row r="12" spans="1:24" x14ac:dyDescent="0.5">
      <c r="A12" s="1621"/>
      <c r="B12" s="2"/>
      <c r="C12" s="2"/>
      <c r="D12" s="2"/>
      <c r="E12" s="2" t="s">
        <v>137</v>
      </c>
      <c r="F12" s="2"/>
      <c r="G12" s="553" t="s">
        <v>955</v>
      </c>
      <c r="H12" s="2" t="s">
        <v>956</v>
      </c>
      <c r="I12" s="2"/>
      <c r="J12" s="554"/>
      <c r="K12" s="2"/>
      <c r="S12" s="2" t="s">
        <v>957</v>
      </c>
      <c r="T12" s="2">
        <v>0.97</v>
      </c>
      <c r="U12" s="2">
        <v>0.52</v>
      </c>
      <c r="V12" s="2">
        <v>0.89</v>
      </c>
      <c r="W12" s="2">
        <v>1.64</v>
      </c>
      <c r="X12" s="2">
        <v>1.27</v>
      </c>
    </row>
    <row r="13" spans="1:24" x14ac:dyDescent="0.5">
      <c r="A13" s="1621"/>
      <c r="B13" s="2"/>
      <c r="C13" s="2"/>
      <c r="D13" s="2"/>
      <c r="E13" s="2" t="s">
        <v>138</v>
      </c>
      <c r="F13" s="2"/>
      <c r="G13" s="553"/>
      <c r="H13" s="2" t="s">
        <v>958</v>
      </c>
      <c r="I13" s="2"/>
      <c r="J13" s="554"/>
      <c r="K13" s="2"/>
      <c r="S13" s="2" t="s">
        <v>959</v>
      </c>
      <c r="T13" s="2">
        <v>1.18</v>
      </c>
      <c r="U13" s="2">
        <v>1.18</v>
      </c>
      <c r="V13" s="2">
        <v>1.28</v>
      </c>
      <c r="W13" s="2">
        <v>1.05</v>
      </c>
      <c r="X13" s="2">
        <v>1.41</v>
      </c>
    </row>
    <row r="14" spans="1:24" x14ac:dyDescent="0.5">
      <c r="A14" s="1622"/>
      <c r="B14" s="2"/>
      <c r="C14" s="2"/>
      <c r="D14" s="2"/>
      <c r="E14" s="2" t="s">
        <v>141</v>
      </c>
      <c r="F14" s="2"/>
      <c r="G14" s="553"/>
      <c r="H14" s="2" t="s">
        <v>960</v>
      </c>
      <c r="I14" s="2"/>
      <c r="J14" s="554"/>
      <c r="K14" s="2"/>
      <c r="S14" s="2" t="s">
        <v>961</v>
      </c>
      <c r="T14" s="2">
        <v>1.28</v>
      </c>
      <c r="U14" s="2">
        <v>1.24</v>
      </c>
      <c r="V14" s="2">
        <v>1.53</v>
      </c>
      <c r="W14" s="2">
        <v>1.41</v>
      </c>
      <c r="X14" s="2">
        <v>1.71</v>
      </c>
    </row>
    <row r="15" spans="1:24" x14ac:dyDescent="0.5">
      <c r="B15" s="2"/>
      <c r="C15" s="2"/>
      <c r="D15" s="2"/>
      <c r="E15" s="2" t="s">
        <v>145</v>
      </c>
      <c r="F15" s="2"/>
      <c r="G15" s="553"/>
      <c r="H15" s="2" t="s">
        <v>962</v>
      </c>
      <c r="I15" s="2"/>
      <c r="J15" s="554"/>
      <c r="K15" s="2"/>
      <c r="S15" s="2" t="s">
        <v>963</v>
      </c>
      <c r="T15" s="2">
        <v>1.24</v>
      </c>
      <c r="U15" s="2">
        <v>1.1499999999999999</v>
      </c>
      <c r="V15" s="2">
        <v>1.35</v>
      </c>
      <c r="W15" s="2">
        <v>1.24</v>
      </c>
      <c r="X15" s="2">
        <v>1.71</v>
      </c>
    </row>
    <row r="16" spans="1:24" x14ac:dyDescent="0.5">
      <c r="E16" s="4" t="s">
        <v>900</v>
      </c>
      <c r="S16" s="2"/>
      <c r="T16" s="2"/>
      <c r="U16" s="2"/>
      <c r="V16" s="2"/>
      <c r="W16" s="2"/>
      <c r="X16" s="2"/>
    </row>
    <row r="17" spans="1:24" ht="18" customHeight="1" x14ac:dyDescent="0.5">
      <c r="S17" s="2" t="s">
        <v>964</v>
      </c>
      <c r="T17" s="2">
        <v>1.25</v>
      </c>
      <c r="U17" s="2">
        <v>1.31</v>
      </c>
      <c r="V17" s="2">
        <v>1.24</v>
      </c>
      <c r="W17" s="2">
        <v>2.2200000000000002</v>
      </c>
      <c r="X17" s="2">
        <v>3.02</v>
      </c>
    </row>
    <row r="18" spans="1:24" ht="22.2" customHeight="1" x14ac:dyDescent="0.5">
      <c r="A18" s="1621" t="s">
        <v>965</v>
      </c>
      <c r="B18" s="2">
        <v>1</v>
      </c>
      <c r="C18" s="2"/>
      <c r="D18" s="245" t="s">
        <v>919</v>
      </c>
      <c r="E18" s="245" t="s">
        <v>923</v>
      </c>
      <c r="F18" s="245" t="s">
        <v>928</v>
      </c>
      <c r="G18" s="245" t="s">
        <v>931</v>
      </c>
      <c r="H18" s="245" t="s">
        <v>936</v>
      </c>
      <c r="I18" s="245" t="s">
        <v>941</v>
      </c>
      <c r="J18" s="245" t="s">
        <v>945</v>
      </c>
      <c r="K18" s="245" t="s">
        <v>948</v>
      </c>
      <c r="L18" s="245" t="s">
        <v>951</v>
      </c>
      <c r="M18" s="245" t="s">
        <v>953</v>
      </c>
      <c r="N18" s="245" t="s">
        <v>955</v>
      </c>
      <c r="S18" s="2" t="s">
        <v>966</v>
      </c>
      <c r="T18" s="2">
        <v>1.06</v>
      </c>
      <c r="U18" s="2">
        <v>1.07</v>
      </c>
      <c r="V18" s="2">
        <v>1.03</v>
      </c>
      <c r="W18" s="2">
        <v>1.24</v>
      </c>
      <c r="X18" s="2">
        <v>1.71</v>
      </c>
    </row>
    <row r="19" spans="1:24" x14ac:dyDescent="0.5">
      <c r="A19" s="1621"/>
      <c r="B19" s="2">
        <v>2</v>
      </c>
      <c r="C19" s="2" t="s">
        <v>30</v>
      </c>
      <c r="D19" s="2">
        <v>36.204999999999998</v>
      </c>
      <c r="E19" s="2">
        <v>57.986249999999998</v>
      </c>
      <c r="F19" s="2">
        <v>35.833333333333336</v>
      </c>
      <c r="G19" s="2">
        <v>63.524999999999999</v>
      </c>
      <c r="H19" s="2">
        <v>95.652500000000003</v>
      </c>
      <c r="I19" s="2">
        <v>66.493333333333325</v>
      </c>
      <c r="J19" s="2">
        <v>40</v>
      </c>
      <c r="K19" s="2">
        <v>10</v>
      </c>
      <c r="L19" s="2">
        <v>0</v>
      </c>
      <c r="M19" s="2">
        <v>12</v>
      </c>
      <c r="N19" s="2">
        <v>40</v>
      </c>
      <c r="S19" s="2" t="s">
        <v>967</v>
      </c>
      <c r="T19" s="2">
        <v>1.1000000000000001</v>
      </c>
      <c r="U19" s="2">
        <v>1.73</v>
      </c>
      <c r="V19" s="2">
        <v>1.33</v>
      </c>
      <c r="W19" s="2">
        <v>1.63</v>
      </c>
      <c r="X19" s="2">
        <v>2.09</v>
      </c>
    </row>
    <row r="20" spans="1:24" x14ac:dyDescent="0.5">
      <c r="A20" s="1621"/>
      <c r="B20" s="2">
        <v>3</v>
      </c>
      <c r="C20" s="2" t="s">
        <v>679</v>
      </c>
      <c r="D20" s="2">
        <v>1.4166666666666667</v>
      </c>
      <c r="E20" s="2">
        <v>2.2000000000000002</v>
      </c>
      <c r="F20" s="2">
        <v>1.8333333333333335</v>
      </c>
      <c r="G20" s="2">
        <v>1.6666666666666667</v>
      </c>
      <c r="H20" s="2">
        <v>2.9</v>
      </c>
      <c r="I20" s="2">
        <v>2.2666666666666666</v>
      </c>
      <c r="J20" s="2">
        <v>1.5</v>
      </c>
      <c r="K20" s="2">
        <v>1.2</v>
      </c>
      <c r="L20" s="2">
        <v>1.3</v>
      </c>
      <c r="M20" s="2">
        <v>1.7</v>
      </c>
      <c r="N20" s="2">
        <v>1.8</v>
      </c>
      <c r="S20" s="2" t="s">
        <v>968</v>
      </c>
      <c r="T20" s="2">
        <v>1.8</v>
      </c>
      <c r="U20" s="2">
        <v>2.19</v>
      </c>
      <c r="V20" s="2">
        <v>1.6</v>
      </c>
      <c r="W20" s="2">
        <v>3.29</v>
      </c>
      <c r="X20" s="2">
        <v>5.01</v>
      </c>
    </row>
    <row r="21" spans="1:24" x14ac:dyDescent="0.5">
      <c r="A21" s="1621"/>
      <c r="B21" s="2">
        <v>4</v>
      </c>
      <c r="C21" s="2" t="s">
        <v>68</v>
      </c>
      <c r="D21" s="2">
        <v>375.60416666666669</v>
      </c>
      <c r="E21" s="2">
        <v>548.55208333333337</v>
      </c>
      <c r="F21" s="2">
        <v>615.75</v>
      </c>
      <c r="G21" s="2">
        <v>541.54166666666663</v>
      </c>
      <c r="H21" s="2">
        <v>926.09375</v>
      </c>
      <c r="I21" s="2">
        <v>360.77777777777783</v>
      </c>
      <c r="J21" s="2">
        <v>300</v>
      </c>
      <c r="K21" s="2">
        <v>500</v>
      </c>
      <c r="L21" s="2">
        <v>401</v>
      </c>
      <c r="M21" s="2">
        <v>800</v>
      </c>
      <c r="N21" s="2">
        <v>600</v>
      </c>
      <c r="S21" s="2" t="s">
        <v>969</v>
      </c>
      <c r="T21" s="2">
        <v>1.47</v>
      </c>
      <c r="U21" s="2">
        <v>2.38</v>
      </c>
      <c r="V21" s="2">
        <v>1.29</v>
      </c>
      <c r="W21" s="2">
        <v>3.41</v>
      </c>
      <c r="X21" s="2">
        <v>5.42</v>
      </c>
    </row>
    <row r="22" spans="1:24" x14ac:dyDescent="0.5">
      <c r="A22" s="1621"/>
      <c r="B22" s="2">
        <v>5</v>
      </c>
      <c r="C22" s="2" t="s">
        <v>345</v>
      </c>
      <c r="D22" s="246">
        <v>0.91676233626800252</v>
      </c>
      <c r="E22" s="246">
        <v>0.86592638569961744</v>
      </c>
      <c r="F22" s="246">
        <v>0.88111261645360039</v>
      </c>
      <c r="G22" s="246">
        <v>0.81635721671935313</v>
      </c>
      <c r="H22" s="246">
        <v>0.79571536667591891</v>
      </c>
      <c r="I22" s="246">
        <v>0.81703631692487155</v>
      </c>
      <c r="J22" s="246">
        <v>0.9</v>
      </c>
      <c r="K22" s="2">
        <v>0.83</v>
      </c>
      <c r="L22" s="2">
        <v>0.85</v>
      </c>
      <c r="M22" s="2">
        <v>1.01</v>
      </c>
      <c r="N22" s="2">
        <v>1.03</v>
      </c>
      <c r="S22" s="2" t="s">
        <v>970</v>
      </c>
      <c r="T22" s="2">
        <v>0.2</v>
      </c>
      <c r="U22" s="2">
        <v>0.35</v>
      </c>
      <c r="V22" s="2">
        <v>1.1100000000000001</v>
      </c>
      <c r="W22" s="2">
        <v>0.54</v>
      </c>
      <c r="X22" s="2">
        <v>0.28000000000000003</v>
      </c>
    </row>
    <row r="23" spans="1:24" x14ac:dyDescent="0.5">
      <c r="A23" s="1621"/>
      <c r="B23" s="2">
        <v>6</v>
      </c>
      <c r="C23" s="2" t="s">
        <v>346</v>
      </c>
      <c r="D23" s="246">
        <v>1.2188310965299554</v>
      </c>
      <c r="E23" s="246">
        <v>1.2055029019178363</v>
      </c>
      <c r="F23" s="246">
        <v>1.1277779878597378</v>
      </c>
      <c r="G23" s="246">
        <v>1.2557370559367371</v>
      </c>
      <c r="H23" s="246">
        <v>1.2204788400397397</v>
      </c>
      <c r="I23" s="246">
        <v>1.2639615493597862</v>
      </c>
      <c r="J23" s="246">
        <v>1.21</v>
      </c>
      <c r="K23" s="2">
        <v>1.18</v>
      </c>
      <c r="L23" s="2">
        <v>1.2</v>
      </c>
      <c r="M23" s="2">
        <v>1.2</v>
      </c>
      <c r="N23" s="2">
        <v>1.21</v>
      </c>
      <c r="S23" s="2" t="s">
        <v>971</v>
      </c>
      <c r="T23" s="2">
        <v>1.65</v>
      </c>
      <c r="U23" s="2">
        <v>2.0299999999999998</v>
      </c>
      <c r="V23" s="2">
        <v>2.48</v>
      </c>
      <c r="W23" s="2">
        <v>4.37</v>
      </c>
      <c r="X23" s="2">
        <v>4.13</v>
      </c>
    </row>
    <row r="24" spans="1:24" x14ac:dyDescent="0.5">
      <c r="A24" s="1621"/>
      <c r="B24" s="2">
        <v>7</v>
      </c>
      <c r="C24" s="2" t="s">
        <v>347</v>
      </c>
      <c r="D24" s="246">
        <v>0.19254267256367377</v>
      </c>
      <c r="E24" s="246">
        <v>0.16061036134402581</v>
      </c>
      <c r="F24" s="246">
        <v>0.13862669132968911</v>
      </c>
      <c r="G24" s="246">
        <v>0.10766248126224992</v>
      </c>
      <c r="H24" s="246">
        <v>0.19380336820545765</v>
      </c>
      <c r="I24" s="246">
        <v>0.11704399172696817</v>
      </c>
      <c r="J24" s="246">
        <v>0.14000000000000001</v>
      </c>
      <c r="K24" s="246">
        <v>0.13</v>
      </c>
      <c r="L24" s="246">
        <v>0.15</v>
      </c>
      <c r="M24" s="246">
        <v>0.12</v>
      </c>
      <c r="N24" s="246">
        <v>0.1</v>
      </c>
      <c r="S24" s="2" t="s">
        <v>972</v>
      </c>
      <c r="T24" s="2">
        <v>1</v>
      </c>
      <c r="U24" s="2">
        <v>1</v>
      </c>
      <c r="V24" s="2">
        <v>1</v>
      </c>
      <c r="W24" s="2">
        <v>1</v>
      </c>
      <c r="X24" s="2">
        <v>1</v>
      </c>
    </row>
    <row r="25" spans="1:24" x14ac:dyDescent="0.5">
      <c r="A25" s="1621"/>
      <c r="B25" s="2">
        <v>8</v>
      </c>
      <c r="C25" s="2" t="s">
        <v>348</v>
      </c>
      <c r="D25" s="246">
        <v>0.9030700218074752</v>
      </c>
      <c r="E25" s="246">
        <v>0.88036346428957812</v>
      </c>
      <c r="F25" s="246">
        <v>0.85957863295583203</v>
      </c>
      <c r="G25" s="246">
        <v>0.92085995486488181</v>
      </c>
      <c r="H25" s="246">
        <v>0.78976915435740624</v>
      </c>
      <c r="I25" s="246">
        <v>0.92369080326583797</v>
      </c>
      <c r="J25" s="246">
        <v>0.94</v>
      </c>
      <c r="K25" s="2">
        <v>0.85</v>
      </c>
      <c r="L25" s="2">
        <v>0.87</v>
      </c>
      <c r="M25" s="2">
        <v>1.06</v>
      </c>
      <c r="N25" s="2">
        <v>1.1200000000000001</v>
      </c>
      <c r="S25" s="2" t="s">
        <v>973</v>
      </c>
      <c r="T25" s="2">
        <v>1.06</v>
      </c>
      <c r="U25" s="2">
        <v>1.65</v>
      </c>
      <c r="V25" s="2">
        <v>1.1100000000000001</v>
      </c>
      <c r="W25" s="2">
        <v>0.9</v>
      </c>
      <c r="X25" s="2">
        <v>0.78</v>
      </c>
    </row>
    <row r="26" spans="1:24" x14ac:dyDescent="0.5">
      <c r="A26" s="1621"/>
      <c r="B26" s="2">
        <v>9</v>
      </c>
      <c r="C26" s="2" t="s">
        <v>575</v>
      </c>
      <c r="D26" s="247">
        <v>415.61878086754211</v>
      </c>
      <c r="E26" s="247">
        <v>225.47865455769022</v>
      </c>
      <c r="F26" s="247">
        <v>260.1754687799226</v>
      </c>
      <c r="G26" s="247">
        <v>149.48459070922675</v>
      </c>
      <c r="H26" s="247">
        <v>322.63313946249906</v>
      </c>
      <c r="I26" s="247">
        <v>334.89280557413366</v>
      </c>
      <c r="J26" s="247">
        <v>187</v>
      </c>
      <c r="K26" s="2">
        <v>82</v>
      </c>
      <c r="L26" s="2">
        <v>177</v>
      </c>
      <c r="M26" s="2">
        <v>25</v>
      </c>
      <c r="N26" s="2">
        <v>50</v>
      </c>
      <c r="S26" s="2" t="s">
        <v>974</v>
      </c>
      <c r="T26" s="2">
        <v>1.61</v>
      </c>
      <c r="U26" s="2">
        <v>1.68</v>
      </c>
      <c r="V26" s="2">
        <v>1.0900000000000001</v>
      </c>
      <c r="W26" s="2">
        <v>1.38</v>
      </c>
      <c r="X26" s="2">
        <v>1.63</v>
      </c>
    </row>
    <row r="27" spans="1:24" x14ac:dyDescent="0.5">
      <c r="A27" s="1621"/>
      <c r="B27" s="2">
        <v>10</v>
      </c>
      <c r="C27" s="2" t="s">
        <v>580</v>
      </c>
      <c r="D27" s="246">
        <v>1.0595237895273566</v>
      </c>
      <c r="E27" s="246">
        <v>1.4542825834884598</v>
      </c>
      <c r="F27" s="246">
        <v>0.97419899453894898</v>
      </c>
      <c r="G27" s="246">
        <v>1.9548696065908617</v>
      </c>
      <c r="H27" s="246">
        <v>1.4186054031888167</v>
      </c>
      <c r="I27" s="246">
        <v>2.0656878074539717</v>
      </c>
      <c r="J27" s="246">
        <v>1</v>
      </c>
      <c r="K27" s="2">
        <v>0</v>
      </c>
      <c r="L27" s="2">
        <v>0</v>
      </c>
      <c r="M27" s="2">
        <v>0.76</v>
      </c>
      <c r="N27" s="2">
        <v>1</v>
      </c>
      <c r="S27" s="2" t="s">
        <v>975</v>
      </c>
      <c r="T27" s="2">
        <v>0.89</v>
      </c>
      <c r="U27" s="2">
        <v>1.17</v>
      </c>
      <c r="V27" s="2">
        <v>1.07</v>
      </c>
      <c r="W27" s="2">
        <v>1.21</v>
      </c>
      <c r="X27" s="2">
        <v>1.08</v>
      </c>
    </row>
    <row r="28" spans="1:24" x14ac:dyDescent="0.5">
      <c r="A28" s="1621"/>
      <c r="B28" s="2">
        <v>11</v>
      </c>
      <c r="C28" s="2" t="s">
        <v>582</v>
      </c>
      <c r="D28" s="247">
        <v>64.857455493503636</v>
      </c>
      <c r="E28" s="247">
        <v>67.966922127972992</v>
      </c>
      <c r="F28" s="247">
        <v>110.02050732932808</v>
      </c>
      <c r="G28" s="247">
        <v>27.999886067587735</v>
      </c>
      <c r="H28" s="247">
        <v>83.039837061207024</v>
      </c>
      <c r="I28" s="247">
        <v>117.44465702775295</v>
      </c>
      <c r="J28" s="247">
        <v>90</v>
      </c>
      <c r="K28" s="2">
        <v>12</v>
      </c>
      <c r="L28" s="2">
        <v>27</v>
      </c>
      <c r="M28" s="2">
        <v>5</v>
      </c>
      <c r="N28" s="2">
        <v>90</v>
      </c>
      <c r="S28" s="2" t="s">
        <v>976</v>
      </c>
      <c r="T28" s="2">
        <v>0.62</v>
      </c>
      <c r="U28" s="2">
        <v>0.41</v>
      </c>
      <c r="V28" s="2">
        <v>0.77</v>
      </c>
      <c r="W28" s="2">
        <v>0.68</v>
      </c>
      <c r="X28" s="2">
        <v>0.51</v>
      </c>
    </row>
    <row r="29" spans="1:24" x14ac:dyDescent="0.5">
      <c r="A29" s="1621"/>
      <c r="B29" s="2">
        <v>12</v>
      </c>
      <c r="C29" s="2" t="s">
        <v>585</v>
      </c>
      <c r="D29" s="246">
        <v>5.6257434018066689E-2</v>
      </c>
      <c r="E29" s="246">
        <v>1.027069388760196</v>
      </c>
      <c r="F29" s="246">
        <v>0.42974988100584549</v>
      </c>
      <c r="G29" s="246">
        <v>1.1631890888317622</v>
      </c>
      <c r="H29" s="246">
        <v>0.82145064088279929</v>
      </c>
      <c r="I29" s="246">
        <v>0.80437111406350104</v>
      </c>
      <c r="J29" s="246">
        <v>0.78</v>
      </c>
      <c r="K29" s="2">
        <v>0</v>
      </c>
      <c r="L29" s="2">
        <v>0</v>
      </c>
      <c r="M29" s="2">
        <v>0</v>
      </c>
      <c r="N29" s="2">
        <v>0</v>
      </c>
      <c r="S29" s="2" t="s">
        <v>977</v>
      </c>
      <c r="T29" s="2">
        <v>0.59</v>
      </c>
      <c r="U29" s="2">
        <v>0.34</v>
      </c>
      <c r="V29" s="2">
        <v>0.77</v>
      </c>
      <c r="W29" s="2">
        <v>0.61</v>
      </c>
      <c r="X29" s="2">
        <v>0.46</v>
      </c>
    </row>
    <row r="30" spans="1:24" x14ac:dyDescent="0.5">
      <c r="A30" s="1621"/>
      <c r="B30" s="2">
        <v>13</v>
      </c>
      <c r="C30" s="2" t="s">
        <v>633</v>
      </c>
      <c r="D30" s="248">
        <v>148</v>
      </c>
      <c r="E30" s="248">
        <v>148</v>
      </c>
      <c r="F30" s="248">
        <v>148</v>
      </c>
      <c r="G30" s="248">
        <v>148</v>
      </c>
      <c r="H30" s="248">
        <v>148</v>
      </c>
      <c r="I30" s="248">
        <v>148</v>
      </c>
      <c r="J30" s="248">
        <v>121</v>
      </c>
      <c r="K30" s="2">
        <v>103</v>
      </c>
      <c r="L30" s="2">
        <v>92</v>
      </c>
      <c r="M30" s="2">
        <v>94</v>
      </c>
      <c r="N30" s="2">
        <v>124</v>
      </c>
      <c r="S30" s="2" t="s">
        <v>978</v>
      </c>
      <c r="T30" s="2">
        <v>1.06</v>
      </c>
      <c r="U30" s="2">
        <v>0.52</v>
      </c>
      <c r="V30" s="2">
        <v>1.28</v>
      </c>
      <c r="W30" s="2">
        <v>0.78</v>
      </c>
      <c r="X30" s="2">
        <v>0.32</v>
      </c>
    </row>
    <row r="31" spans="1:24" x14ac:dyDescent="0.5">
      <c r="A31" s="1621"/>
      <c r="B31" s="2">
        <v>14</v>
      </c>
      <c r="C31" s="2" t="s">
        <v>979</v>
      </c>
      <c r="D31" s="247">
        <v>16.600000000000001</v>
      </c>
      <c r="E31" s="247">
        <v>16.600000000000001</v>
      </c>
      <c r="F31" s="247">
        <v>16.600000000000001</v>
      </c>
      <c r="G31" s="247">
        <v>16.600000000000001</v>
      </c>
      <c r="H31" s="247">
        <v>16.600000000000001</v>
      </c>
      <c r="I31" s="247">
        <v>16.600000000000001</v>
      </c>
      <c r="J31" s="247">
        <v>16.2</v>
      </c>
      <c r="K31" s="2">
        <v>12.1</v>
      </c>
      <c r="L31" s="2">
        <v>11</v>
      </c>
      <c r="M31" s="2">
        <v>12.8</v>
      </c>
      <c r="N31" s="2">
        <v>16.5</v>
      </c>
      <c r="S31" s="2" t="s">
        <v>980</v>
      </c>
      <c r="T31" s="2">
        <v>0.63</v>
      </c>
      <c r="U31" s="2">
        <v>0.36</v>
      </c>
      <c r="V31" s="2">
        <v>1.21</v>
      </c>
      <c r="W31" s="2">
        <v>0.54</v>
      </c>
      <c r="X31" s="2">
        <v>0.38</v>
      </c>
    </row>
    <row r="32" spans="1:24" x14ac:dyDescent="0.5">
      <c r="A32" s="1621"/>
      <c r="B32" s="2">
        <v>15</v>
      </c>
      <c r="C32" s="2" t="s">
        <v>681</v>
      </c>
      <c r="D32" s="246">
        <v>0.6</v>
      </c>
      <c r="E32" s="246">
        <v>0.6</v>
      </c>
      <c r="F32" s="246">
        <v>0.72</v>
      </c>
      <c r="G32" s="246">
        <v>0</v>
      </c>
      <c r="H32" s="246">
        <v>0.8</v>
      </c>
      <c r="I32" s="246">
        <v>0.64</v>
      </c>
      <c r="J32" s="246">
        <v>0.6</v>
      </c>
      <c r="K32" s="2">
        <v>0</v>
      </c>
      <c r="L32" s="2">
        <v>0</v>
      </c>
      <c r="M32" s="2">
        <v>0</v>
      </c>
      <c r="N32" s="246">
        <v>0.6</v>
      </c>
      <c r="S32" s="2" t="s">
        <v>981</v>
      </c>
      <c r="T32" s="2">
        <v>0.27</v>
      </c>
      <c r="U32" s="2">
        <v>0.15</v>
      </c>
      <c r="V32" s="2">
        <v>0.14000000000000001</v>
      </c>
      <c r="W32" s="2">
        <v>0.77</v>
      </c>
      <c r="X32" s="2">
        <v>0.46</v>
      </c>
    </row>
    <row r="33" spans="1:24" x14ac:dyDescent="0.5">
      <c r="A33" s="1621"/>
      <c r="B33" s="2">
        <v>16</v>
      </c>
      <c r="C33" s="2" t="s">
        <v>982</v>
      </c>
      <c r="D33" s="249">
        <v>31306.993431972256</v>
      </c>
      <c r="E33" s="249">
        <v>46523.647810409748</v>
      </c>
      <c r="F33" s="249">
        <v>60390.309194467984</v>
      </c>
      <c r="G33" s="249">
        <v>50249.921620479319</v>
      </c>
      <c r="H33" s="249">
        <v>81292.55327080781</v>
      </c>
      <c r="I33" s="249">
        <v>41323.098268563001</v>
      </c>
      <c r="J33" s="249">
        <v>29035</v>
      </c>
      <c r="K33" s="2">
        <v>37190</v>
      </c>
      <c r="L33" s="2">
        <v>24066</v>
      </c>
      <c r="M33" s="2">
        <v>38258</v>
      </c>
      <c r="N33" s="2">
        <v>67431</v>
      </c>
      <c r="S33" s="2" t="s">
        <v>983</v>
      </c>
      <c r="T33" s="2">
        <v>0.69</v>
      </c>
      <c r="U33" s="2">
        <v>0.37</v>
      </c>
      <c r="V33" s="2">
        <v>0.62</v>
      </c>
      <c r="W33" s="2">
        <v>0.82</v>
      </c>
      <c r="X33" s="2">
        <v>0.89</v>
      </c>
    </row>
    <row r="34" spans="1:24" x14ac:dyDescent="0.5">
      <c r="A34" s="1621"/>
      <c r="B34" s="2">
        <v>17</v>
      </c>
      <c r="C34" s="2" t="s">
        <v>984</v>
      </c>
      <c r="D34" s="249">
        <v>26437.462269755903</v>
      </c>
      <c r="E34" s="249">
        <v>34281.918239562619</v>
      </c>
      <c r="F34" s="249">
        <v>49544.467374435182</v>
      </c>
      <c r="G34" s="249">
        <v>39419.966504212112</v>
      </c>
      <c r="H34" s="249">
        <v>62120.788773610439</v>
      </c>
      <c r="I34" s="249">
        <v>25183.340007798772</v>
      </c>
      <c r="J34" s="249">
        <v>24655</v>
      </c>
      <c r="K34" s="248">
        <v>30895</v>
      </c>
      <c r="L34" s="248">
        <v>23066</v>
      </c>
      <c r="M34" s="248">
        <v>65731</v>
      </c>
      <c r="N34" s="248">
        <v>60893</v>
      </c>
      <c r="S34" s="2" t="s">
        <v>985</v>
      </c>
      <c r="T34" s="2">
        <v>1.03</v>
      </c>
      <c r="U34" s="2">
        <v>1.1399999999999999</v>
      </c>
      <c r="V34" s="2">
        <v>0.84</v>
      </c>
      <c r="W34" s="2">
        <v>1.3</v>
      </c>
      <c r="X34" s="2">
        <v>1.77</v>
      </c>
    </row>
    <row r="35" spans="1:24" x14ac:dyDescent="0.5">
      <c r="A35" s="1621"/>
      <c r="B35" s="2">
        <v>18</v>
      </c>
      <c r="C35" s="2" t="s">
        <v>986</v>
      </c>
      <c r="D35" s="249">
        <v>4869.5311622163554</v>
      </c>
      <c r="E35" s="249">
        <v>12241.729570847134</v>
      </c>
      <c r="F35" s="249">
        <v>10845.841820032798</v>
      </c>
      <c r="G35" s="249">
        <v>10829.955116267205</v>
      </c>
      <c r="H35" s="249">
        <v>19171.764497197481</v>
      </c>
      <c r="I35" s="249">
        <v>16139.758260764078</v>
      </c>
      <c r="J35" s="249">
        <v>4380</v>
      </c>
      <c r="K35" s="248">
        <v>6295</v>
      </c>
      <c r="L35" s="248">
        <v>1000</v>
      </c>
      <c r="M35" s="248">
        <v>-27473</v>
      </c>
      <c r="N35" s="248">
        <v>6538</v>
      </c>
      <c r="S35" s="2" t="s">
        <v>987</v>
      </c>
      <c r="T35" s="2">
        <v>0</v>
      </c>
      <c r="U35" s="2">
        <v>0</v>
      </c>
      <c r="V35" s="2">
        <v>0</v>
      </c>
      <c r="W35" s="2">
        <v>0</v>
      </c>
      <c r="X35" s="2">
        <v>0</v>
      </c>
    </row>
    <row r="36" spans="1:24" x14ac:dyDescent="0.5">
      <c r="A36" s="1621"/>
      <c r="B36" s="2">
        <v>19</v>
      </c>
      <c r="C36" s="2" t="s">
        <v>655</v>
      </c>
      <c r="D36" s="249">
        <v>39615.636646022773</v>
      </c>
      <c r="E36" s="249">
        <v>67013.582112734832</v>
      </c>
      <c r="F36" s="249">
        <v>74521.554840157172</v>
      </c>
      <c r="G36" s="249">
        <v>63518.012254314715</v>
      </c>
      <c r="H36" s="249">
        <v>106726.38543093935</v>
      </c>
      <c r="I36" s="249">
        <v>52025.57730647632</v>
      </c>
      <c r="J36" s="249">
        <v>34427</v>
      </c>
      <c r="K36" s="250">
        <v>48989</v>
      </c>
      <c r="L36" s="250">
        <v>33626</v>
      </c>
      <c r="M36" s="250">
        <v>72760</v>
      </c>
      <c r="N36" s="250">
        <v>79157</v>
      </c>
      <c r="S36" s="2" t="s">
        <v>988</v>
      </c>
      <c r="T36" s="2">
        <v>1.1000000000000001</v>
      </c>
      <c r="U36" s="2">
        <v>0.12</v>
      </c>
      <c r="V36" s="2">
        <v>0.3</v>
      </c>
      <c r="W36" s="2">
        <v>0.53</v>
      </c>
      <c r="X36" s="2">
        <v>0.2</v>
      </c>
    </row>
    <row r="37" spans="1:24" x14ac:dyDescent="0.5">
      <c r="A37" s="1621"/>
      <c r="B37" s="2">
        <v>20</v>
      </c>
      <c r="C37" s="2" t="s">
        <v>989</v>
      </c>
      <c r="D37" s="249">
        <v>13178.174376267023</v>
      </c>
      <c r="E37" s="249">
        <v>28532.11098653121</v>
      </c>
      <c r="F37" s="249">
        <v>24977.087465721863</v>
      </c>
      <c r="G37" s="249">
        <v>24098.045750102599</v>
      </c>
      <c r="H37" s="249">
        <v>44605.596657328737</v>
      </c>
      <c r="I37" s="249">
        <v>26842.237298677508</v>
      </c>
      <c r="J37" s="249">
        <v>9772</v>
      </c>
      <c r="K37" s="250">
        <v>18094</v>
      </c>
      <c r="L37" s="250">
        <v>10560</v>
      </c>
      <c r="M37" s="250">
        <v>7029</v>
      </c>
      <c r="N37" s="250">
        <v>18264</v>
      </c>
      <c r="S37" s="2" t="s">
        <v>990</v>
      </c>
      <c r="T37" s="2">
        <v>0.89</v>
      </c>
      <c r="U37" s="2"/>
      <c r="V37" s="2"/>
      <c r="W37" s="2"/>
      <c r="X37" s="2"/>
    </row>
    <row r="38" spans="1:24" x14ac:dyDescent="0.5">
      <c r="A38" s="1621"/>
      <c r="B38" s="2">
        <v>21</v>
      </c>
      <c r="C38" s="2" t="s">
        <v>408</v>
      </c>
      <c r="D38" s="249">
        <v>128076.21013674345</v>
      </c>
      <c r="E38" s="249">
        <v>201691.93072850947</v>
      </c>
      <c r="F38" s="249">
        <v>180199.18737922568</v>
      </c>
      <c r="G38" s="249">
        <v>256173.52774651334</v>
      </c>
      <c r="H38" s="249">
        <v>254098.00074067101</v>
      </c>
      <c r="I38" s="249">
        <v>161476.66727184888</v>
      </c>
      <c r="J38" s="249">
        <v>160712</v>
      </c>
      <c r="K38" s="250">
        <v>144629</v>
      </c>
      <c r="L38" s="250">
        <v>116849</v>
      </c>
      <c r="M38" s="250">
        <v>144260</v>
      </c>
      <c r="N38" s="250">
        <v>178757</v>
      </c>
      <c r="S38" s="2" t="s">
        <v>991</v>
      </c>
      <c r="T38" s="2">
        <v>1.69</v>
      </c>
      <c r="U38" s="2">
        <v>0.45</v>
      </c>
      <c r="V38" s="2">
        <v>1.1000000000000001</v>
      </c>
      <c r="W38" s="2">
        <v>0.98</v>
      </c>
      <c r="X38" s="2">
        <v>0.36</v>
      </c>
    </row>
    <row r="39" spans="1:24" x14ac:dyDescent="0.5">
      <c r="A39" s="1621"/>
      <c r="B39" s="2">
        <v>22</v>
      </c>
      <c r="C39" s="2" t="s">
        <v>992</v>
      </c>
      <c r="D39" s="249">
        <v>83.351028051176883</v>
      </c>
      <c r="E39" s="249">
        <v>84.811723852553769</v>
      </c>
      <c r="F39" s="249">
        <v>98.0760198042517</v>
      </c>
      <c r="G39" s="249">
        <v>92.79049926071427</v>
      </c>
      <c r="H39" s="249">
        <v>87.780047398881422</v>
      </c>
      <c r="I39" s="249">
        <v>114.53892344227459</v>
      </c>
      <c r="J39" s="249">
        <v>63.119565217391305</v>
      </c>
      <c r="K39" s="250">
        <v>80.847826086956516</v>
      </c>
      <c r="L39" s="250">
        <v>52.317391304347829</v>
      </c>
      <c r="M39" s="250">
        <v>83.169565217391309</v>
      </c>
      <c r="N39" s="250">
        <v>146.58913043478262</v>
      </c>
      <c r="S39" s="2" t="s">
        <v>987</v>
      </c>
      <c r="T39" s="2">
        <v>0</v>
      </c>
      <c r="U39" s="2">
        <v>0</v>
      </c>
      <c r="V39" s="2">
        <v>0</v>
      </c>
      <c r="W39" s="2">
        <v>0</v>
      </c>
      <c r="X39" s="2">
        <v>0</v>
      </c>
    </row>
    <row r="40" spans="1:24" x14ac:dyDescent="0.5">
      <c r="A40" s="1621"/>
      <c r="B40" s="2">
        <v>23</v>
      </c>
      <c r="C40" s="2" t="s">
        <v>665</v>
      </c>
      <c r="D40" s="249">
        <v>70.386498915540727</v>
      </c>
      <c r="E40" s="249">
        <v>62.495284005203317</v>
      </c>
      <c r="F40" s="249">
        <v>80.461985179756709</v>
      </c>
      <c r="G40" s="249">
        <v>72.792120958766688</v>
      </c>
      <c r="H40" s="249">
        <v>67.078293934723561</v>
      </c>
      <c r="I40" s="249">
        <v>69.802913480193709</v>
      </c>
      <c r="J40" s="249">
        <v>53.597826086956523</v>
      </c>
      <c r="K40" s="250">
        <v>67.163043478260875</v>
      </c>
      <c r="L40" s="250">
        <v>50.143478260869564</v>
      </c>
      <c r="M40" s="250">
        <v>142.89347826086956</v>
      </c>
      <c r="N40" s="250">
        <v>132.37608695652173</v>
      </c>
      <c r="S40" s="2" t="s">
        <v>993</v>
      </c>
      <c r="T40" s="2">
        <v>0.36</v>
      </c>
      <c r="U40" s="2">
        <v>0.25</v>
      </c>
      <c r="V40" s="2">
        <v>0.67</v>
      </c>
      <c r="W40" s="2">
        <v>0.65</v>
      </c>
      <c r="X40" s="2">
        <v>0.44</v>
      </c>
    </row>
    <row r="41" spans="1:24" x14ac:dyDescent="0.5">
      <c r="A41" s="1621"/>
      <c r="B41" s="2">
        <v>24</v>
      </c>
      <c r="C41" s="2" t="s">
        <v>994</v>
      </c>
      <c r="D41" s="249">
        <v>48.268000000000001</v>
      </c>
      <c r="E41" s="249">
        <v>16.886111111111113</v>
      </c>
      <c r="F41" s="249">
        <v>52.777777777777779</v>
      </c>
      <c r="G41" s="249">
        <v>-9.0244444444444447</v>
      </c>
      <c r="H41" s="249">
        <v>8.4130434782608692</v>
      </c>
      <c r="I41" s="249">
        <v>6.2826086956521738</v>
      </c>
      <c r="J41" s="249">
        <v>9.5217391304347831</v>
      </c>
      <c r="K41" s="250">
        <v>13.684782608695652</v>
      </c>
      <c r="L41" s="250">
        <v>2.1739130434782608</v>
      </c>
      <c r="M41" s="250">
        <v>-59.723913043478262</v>
      </c>
      <c r="N41" s="250">
        <v>14.21304347826087</v>
      </c>
      <c r="S41" s="2" t="s">
        <v>995</v>
      </c>
      <c r="T41" s="2">
        <v>0.57999999999999996</v>
      </c>
      <c r="U41" s="2"/>
      <c r="V41" s="2"/>
      <c r="W41" s="2"/>
      <c r="X41" s="2"/>
    </row>
    <row r="42" spans="1:24" x14ac:dyDescent="0.5">
      <c r="A42" s="1621"/>
      <c r="B42" s="2">
        <v>25</v>
      </c>
      <c r="C42" s="2" t="s">
        <v>996</v>
      </c>
      <c r="D42" s="249">
        <v>142.096</v>
      </c>
      <c r="E42" s="249">
        <v>133.72499999999999</v>
      </c>
      <c r="F42" s="249">
        <v>161.81333333333333</v>
      </c>
      <c r="G42" s="249">
        <v>101.89111111111112</v>
      </c>
      <c r="H42" s="249">
        <v>140.34130434782608</v>
      </c>
      <c r="I42" s="249">
        <v>81.65652173913044</v>
      </c>
      <c r="J42" s="249">
        <v>74.841304347826082</v>
      </c>
      <c r="K42" s="250">
        <v>106.49782608695652</v>
      </c>
      <c r="L42" s="250">
        <v>73.099999999999994</v>
      </c>
      <c r="M42" s="250">
        <v>158.17391304347825</v>
      </c>
      <c r="N42" s="250">
        <v>172.08043478260871</v>
      </c>
      <c r="S42" s="2" t="s">
        <v>987</v>
      </c>
      <c r="T42" s="2">
        <v>0</v>
      </c>
      <c r="U42" s="2">
        <v>0</v>
      </c>
      <c r="V42" s="2">
        <v>0</v>
      </c>
      <c r="W42" s="2">
        <v>0</v>
      </c>
      <c r="X42" s="2">
        <v>0</v>
      </c>
    </row>
    <row r="43" spans="1:24" x14ac:dyDescent="0.5">
      <c r="A43" s="1621"/>
      <c r="B43" s="2">
        <v>26</v>
      </c>
      <c r="C43" s="2" t="s">
        <v>997</v>
      </c>
      <c r="D43" s="249">
        <v>12.964529135636162</v>
      </c>
      <c r="E43" s="249">
        <v>22.316439847350455</v>
      </c>
      <c r="F43" s="249">
        <v>17.614034624495002</v>
      </c>
      <c r="G43" s="249">
        <v>19.998378301947596</v>
      </c>
      <c r="H43" s="249">
        <v>20.701753464157861</v>
      </c>
      <c r="I43" s="249">
        <v>44.736009962080892</v>
      </c>
      <c r="J43" s="249">
        <v>21.243478260869566</v>
      </c>
      <c r="K43" s="250">
        <v>39.334782608695654</v>
      </c>
      <c r="L43" s="250">
        <v>22.956521739130434</v>
      </c>
      <c r="M43" s="250">
        <v>15.280434782608696</v>
      </c>
      <c r="N43" s="250">
        <v>39.704347826086959</v>
      </c>
    </row>
    <row r="44" spans="1:24" x14ac:dyDescent="0.5">
      <c r="A44" s="1621"/>
      <c r="B44" s="2">
        <v>27</v>
      </c>
      <c r="C44" s="2" t="s">
        <v>684</v>
      </c>
      <c r="D44" s="249">
        <v>892.55824001417204</v>
      </c>
      <c r="E44" s="249">
        <v>838</v>
      </c>
      <c r="F44" s="249">
        <v>2908</v>
      </c>
      <c r="G44" s="249">
        <v>2174</v>
      </c>
      <c r="H44" s="249">
        <v>-1374</v>
      </c>
      <c r="I44" s="249">
        <v>3344</v>
      </c>
      <c r="J44" s="249">
        <v>8416</v>
      </c>
      <c r="K44" s="250">
        <v>6500</v>
      </c>
      <c r="L44" s="250">
        <v>0</v>
      </c>
      <c r="M44" s="250">
        <v>6500</v>
      </c>
      <c r="N44" s="250">
        <v>18763</v>
      </c>
    </row>
    <row r="45" spans="1:24" x14ac:dyDescent="0.5">
      <c r="A45" s="1621"/>
      <c r="B45" s="2">
        <v>28</v>
      </c>
      <c r="C45" s="2" t="s">
        <v>391</v>
      </c>
      <c r="D45" s="249">
        <v>14070.732616281195</v>
      </c>
      <c r="E45" s="249">
        <v>43140.870528306907</v>
      </c>
      <c r="F45" s="249">
        <v>26825.579708659672</v>
      </c>
      <c r="G45" s="249">
        <v>37545.15677483238</v>
      </c>
      <c r="H45" s="249">
        <v>74273.727203481845</v>
      </c>
      <c r="I45" s="249">
        <v>52666.696627426682</v>
      </c>
      <c r="J45" s="249">
        <v>18188</v>
      </c>
      <c r="K45" s="250">
        <v>24594</v>
      </c>
      <c r="L45" s="250">
        <v>10560</v>
      </c>
      <c r="M45" s="250">
        <v>13529</v>
      </c>
      <c r="N45" s="250">
        <v>37027</v>
      </c>
    </row>
    <row r="46" spans="1:24" x14ac:dyDescent="0.5">
      <c r="A46" s="1621"/>
      <c r="B46" s="2">
        <v>29</v>
      </c>
      <c r="C46" s="2" t="s">
        <v>685</v>
      </c>
      <c r="D46" s="249">
        <v>37599.434924914414</v>
      </c>
      <c r="E46" s="249">
        <v>64541.160889702871</v>
      </c>
      <c r="F46" s="249">
        <v>55428.57298158318</v>
      </c>
      <c r="G46" s="249">
        <v>83531.039240986647</v>
      </c>
      <c r="H46" s="249">
        <v>124799.60220815681</v>
      </c>
      <c r="I46" s="249">
        <v>69674.232639448717</v>
      </c>
      <c r="J46" s="249">
        <v>50028</v>
      </c>
      <c r="K46" s="250">
        <v>55932</v>
      </c>
      <c r="L46" s="250">
        <v>48234</v>
      </c>
      <c r="M46" s="250">
        <v>33885</v>
      </c>
      <c r="N46" s="250">
        <v>46407</v>
      </c>
    </row>
    <row r="47" spans="1:24" x14ac:dyDescent="0.5">
      <c r="A47" s="1621"/>
      <c r="B47" s="2">
        <v>30</v>
      </c>
      <c r="C47" s="2" t="s">
        <v>664</v>
      </c>
      <c r="D47" s="251">
        <v>26731.554660714286</v>
      </c>
      <c r="E47" s="251">
        <v>41130.072054870128</v>
      </c>
      <c r="F47" s="251">
        <v>44426.072223809526</v>
      </c>
      <c r="G47" s="251">
        <v>29580.862349206349</v>
      </c>
      <c r="H47" s="251">
        <v>53404.827690476195</v>
      </c>
      <c r="I47" s="251">
        <v>36994.241534900284</v>
      </c>
      <c r="J47" s="251">
        <v>14229</v>
      </c>
      <c r="K47" s="250">
        <v>6900</v>
      </c>
      <c r="L47" s="250">
        <v>7350</v>
      </c>
      <c r="M47" s="250">
        <v>7267</v>
      </c>
      <c r="N47" s="250">
        <v>11080</v>
      </c>
    </row>
    <row r="48" spans="1:24" x14ac:dyDescent="0.5">
      <c r="A48" s="1621"/>
      <c r="B48" s="2">
        <v>31</v>
      </c>
      <c r="C48" s="2" t="s">
        <v>998</v>
      </c>
      <c r="D48" s="251">
        <v>7200</v>
      </c>
      <c r="E48" s="251">
        <v>11130</v>
      </c>
      <c r="F48" s="251">
        <v>11380</v>
      </c>
      <c r="G48" s="251">
        <v>13456</v>
      </c>
      <c r="H48" s="251">
        <v>16692</v>
      </c>
      <c r="I48" s="251">
        <v>13590</v>
      </c>
      <c r="J48" s="251">
        <v>12197</v>
      </c>
      <c r="K48" s="250">
        <v>4140</v>
      </c>
      <c r="L48" s="250">
        <v>1966</v>
      </c>
      <c r="M48" s="250">
        <v>5200</v>
      </c>
      <c r="N48" s="250">
        <v>12036</v>
      </c>
    </row>
    <row r="49" spans="1:14" x14ac:dyDescent="0.5">
      <c r="A49" s="1621"/>
      <c r="B49" s="2">
        <v>32</v>
      </c>
      <c r="C49" s="2" t="s">
        <v>305</v>
      </c>
      <c r="D49" s="251">
        <v>56450</v>
      </c>
      <c r="E49" s="251">
        <v>68750</v>
      </c>
      <c r="F49" s="251">
        <v>64750</v>
      </c>
      <c r="G49" s="251">
        <v>86650</v>
      </c>
      <c r="H49" s="251">
        <v>71140</v>
      </c>
      <c r="I49" s="251">
        <v>54750</v>
      </c>
      <c r="J49" s="251">
        <v>73330</v>
      </c>
      <c r="K49" s="250">
        <v>89140</v>
      </c>
      <c r="L49" s="250">
        <v>83223</v>
      </c>
      <c r="M49" s="250">
        <v>65000</v>
      </c>
      <c r="N49" s="250">
        <v>51000</v>
      </c>
    </row>
    <row r="50" spans="1:14" x14ac:dyDescent="0.5">
      <c r="A50" s="1621"/>
      <c r="B50" s="2">
        <v>33</v>
      </c>
      <c r="C50" s="2" t="s">
        <v>686</v>
      </c>
      <c r="D50" s="250">
        <v>64640.82019136678</v>
      </c>
      <c r="E50" s="250">
        <v>94038.699638604434</v>
      </c>
      <c r="F50" s="250">
        <v>71543.453393743199</v>
      </c>
      <c r="G50" s="250">
        <v>98336.20086717901</v>
      </c>
      <c r="H50" s="250">
        <v>107946.72249532457</v>
      </c>
      <c r="I50" s="250">
        <v>65169.612321311084</v>
      </c>
      <c r="J50" s="250">
        <v>42840</v>
      </c>
      <c r="K50" s="250">
        <v>57802</v>
      </c>
      <c r="L50" s="250">
        <v>45549</v>
      </c>
      <c r="M50" s="250">
        <v>44644</v>
      </c>
      <c r="N50" s="250">
        <v>41620</v>
      </c>
    </row>
    <row r="51" spans="1:14" x14ac:dyDescent="0.5">
      <c r="A51" s="1621"/>
      <c r="B51" s="2">
        <v>34</v>
      </c>
      <c r="C51" s="2" t="s">
        <v>407</v>
      </c>
      <c r="D51" s="250">
        <v>36368.488030652486</v>
      </c>
      <c r="E51" s="250">
        <v>51058.721333734291</v>
      </c>
      <c r="F51" s="250">
        <v>26000.721169933677</v>
      </c>
      <c r="G51" s="250">
        <v>68356.618517972645</v>
      </c>
      <c r="H51" s="250">
        <v>52120.134804848371</v>
      </c>
      <c r="I51" s="250">
        <v>26726.682453077472</v>
      </c>
      <c r="J51" s="250">
        <v>26614</v>
      </c>
      <c r="K51" s="250">
        <v>50212</v>
      </c>
      <c r="L51" s="250">
        <v>37928</v>
      </c>
      <c r="M51" s="250">
        <v>36317</v>
      </c>
      <c r="N51" s="250">
        <v>28490</v>
      </c>
    </row>
    <row r="52" spans="1:14" x14ac:dyDescent="0.5">
      <c r="A52" s="1621"/>
      <c r="B52" s="2">
        <v>35</v>
      </c>
      <c r="C52" s="2" t="s">
        <v>999</v>
      </c>
      <c r="D52" s="250">
        <v>32607.226441366773</v>
      </c>
      <c r="E52" s="250">
        <v>41175.633633828198</v>
      </c>
      <c r="F52" s="250">
        <v>28531.35612112029</v>
      </c>
      <c r="G52" s="250">
        <v>53154.395935826127</v>
      </c>
      <c r="H52" s="250">
        <v>34694.152324086768</v>
      </c>
      <c r="I52" s="250">
        <v>18967.338496994435</v>
      </c>
      <c r="J52" s="250">
        <v>30643</v>
      </c>
      <c r="K52" s="250">
        <v>53662</v>
      </c>
      <c r="L52" s="250">
        <v>43583</v>
      </c>
      <c r="M52" s="250">
        <v>39444</v>
      </c>
      <c r="N52" s="250">
        <v>29584</v>
      </c>
    </row>
    <row r="53" spans="1:14" x14ac:dyDescent="0.5">
      <c r="A53" s="1621"/>
      <c r="B53" s="2">
        <v>36</v>
      </c>
      <c r="C53" s="2" t="s">
        <v>409</v>
      </c>
      <c r="D53" s="246">
        <v>0.74985800946826575</v>
      </c>
      <c r="E53" s="246">
        <v>0.66838914887285539</v>
      </c>
      <c r="F53" s="246">
        <v>0.62435434504519505</v>
      </c>
      <c r="G53" s="246">
        <v>0.72932154023711115</v>
      </c>
      <c r="H53" s="246">
        <v>0.66387815586198684</v>
      </c>
      <c r="I53" s="246">
        <v>0.57699427007054049</v>
      </c>
      <c r="J53" s="246">
        <v>0.45628204490019414</v>
      </c>
      <c r="K53" s="246">
        <v>0.61633558968118429</v>
      </c>
      <c r="L53" s="246">
        <v>0.71222689111588455</v>
      </c>
      <c r="M53" s="246">
        <v>0.45057535006238736</v>
      </c>
      <c r="N53" s="246">
        <v>0.28530351258971676</v>
      </c>
    </row>
    <row r="54" spans="1:14" x14ac:dyDescent="0.5">
      <c r="A54" s="1621"/>
      <c r="B54" s="2">
        <v>37</v>
      </c>
      <c r="C54" s="2" t="s">
        <v>688</v>
      </c>
      <c r="D54" s="246">
        <v>0.50470591003865239</v>
      </c>
      <c r="E54" s="246">
        <v>0.46624919152163141</v>
      </c>
      <c r="F54" s="246">
        <v>0.39702428426151221</v>
      </c>
      <c r="G54" s="246">
        <v>0.38386558413047195</v>
      </c>
      <c r="H54" s="246">
        <v>0.42482318704071009</v>
      </c>
      <c r="I54" s="246">
        <v>0.4035853193055865</v>
      </c>
      <c r="J54" s="246">
        <v>0.26656379112947381</v>
      </c>
      <c r="K54" s="246">
        <v>0.39965705356463782</v>
      </c>
      <c r="L54" s="246">
        <v>0.38981078143587022</v>
      </c>
      <c r="M54" s="246">
        <v>0.30946901427977264</v>
      </c>
      <c r="N54" s="246">
        <v>0.23283004301929436</v>
      </c>
    </row>
    <row r="55" spans="1:14" x14ac:dyDescent="0.5">
      <c r="A55" s="1621"/>
      <c r="B55" s="2">
        <v>38</v>
      </c>
      <c r="C55" s="2" t="s">
        <v>411</v>
      </c>
      <c r="D55" s="246">
        <v>0.41597460678600512</v>
      </c>
      <c r="E55" s="246">
        <v>0.20983029134783102</v>
      </c>
      <c r="F55" s="246">
        <v>0.38757241635179818</v>
      </c>
      <c r="G55" s="246">
        <v>3.8410329943318978E-2</v>
      </c>
      <c r="H55" s="246">
        <v>0.27562773404619961</v>
      </c>
      <c r="I55" s="246">
        <v>0.37688089839064848</v>
      </c>
      <c r="J55" s="246">
        <v>0.28471055088702146</v>
      </c>
      <c r="K55" s="246">
        <v>7.1623819245008824E-2</v>
      </c>
      <c r="L55" s="246">
        <v>4.3162308722474695E-2</v>
      </c>
      <c r="M55" s="246">
        <v>0.11647701818833438</v>
      </c>
      <c r="N55" s="246">
        <v>0.28918789043728976</v>
      </c>
    </row>
  </sheetData>
  <mergeCells count="4">
    <mergeCell ref="A1:A14"/>
    <mergeCell ref="A18:A55"/>
    <mergeCell ref="S3:X3"/>
    <mergeCell ref="M1:N1"/>
  </mergeCells>
  <phoneticPr fontId="45"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1AC6C-56ED-4288-B876-297072DD94CC}">
  <dimension ref="A1:F90"/>
  <sheetViews>
    <sheetView zoomScaleNormal="100" zoomScaleSheetLayoutView="106" workbookViewId="0">
      <selection activeCell="D4" sqref="D4"/>
    </sheetView>
  </sheetViews>
  <sheetFormatPr baseColWidth="10" defaultColWidth="11" defaultRowHeight="13.2" x14ac:dyDescent="0.5"/>
  <cols>
    <col min="1" max="1" width="32" style="286" customWidth="1"/>
    <col min="2" max="2" width="30" style="286" customWidth="1"/>
    <col min="3" max="256" width="11.44140625" style="286"/>
    <col min="257" max="257" width="32" style="286" customWidth="1"/>
    <col min="258" max="258" width="30" style="286" customWidth="1"/>
    <col min="259" max="512" width="11.44140625" style="286"/>
    <col min="513" max="513" width="32" style="286" customWidth="1"/>
    <col min="514" max="514" width="30" style="286" customWidth="1"/>
    <col min="515" max="768" width="11.44140625" style="286"/>
    <col min="769" max="769" width="32" style="286" customWidth="1"/>
    <col min="770" max="770" width="30" style="286" customWidth="1"/>
    <col min="771" max="1024" width="11.44140625" style="286"/>
    <col min="1025" max="1025" width="32" style="286" customWidth="1"/>
    <col min="1026" max="1026" width="30" style="286" customWidth="1"/>
    <col min="1027" max="1280" width="11.44140625" style="286"/>
    <col min="1281" max="1281" width="32" style="286" customWidth="1"/>
    <col min="1282" max="1282" width="30" style="286" customWidth="1"/>
    <col min="1283" max="1536" width="11.44140625" style="286"/>
    <col min="1537" max="1537" width="32" style="286" customWidth="1"/>
    <col min="1538" max="1538" width="30" style="286" customWidth="1"/>
    <col min="1539" max="1792" width="11.44140625" style="286"/>
    <col min="1793" max="1793" width="32" style="286" customWidth="1"/>
    <col min="1794" max="1794" width="30" style="286" customWidth="1"/>
    <col min="1795" max="2048" width="11.44140625" style="286"/>
    <col min="2049" max="2049" width="32" style="286" customWidth="1"/>
    <col min="2050" max="2050" width="30" style="286" customWidth="1"/>
    <col min="2051" max="2304" width="11.44140625" style="286"/>
    <col min="2305" max="2305" width="32" style="286" customWidth="1"/>
    <col min="2306" max="2306" width="30" style="286" customWidth="1"/>
    <col min="2307" max="2560" width="11.44140625" style="286"/>
    <col min="2561" max="2561" width="32" style="286" customWidth="1"/>
    <col min="2562" max="2562" width="30" style="286" customWidth="1"/>
    <col min="2563" max="2816" width="11.44140625" style="286"/>
    <col min="2817" max="2817" width="32" style="286" customWidth="1"/>
    <col min="2818" max="2818" width="30" style="286" customWidth="1"/>
    <col min="2819" max="3072" width="11.44140625" style="286"/>
    <col min="3073" max="3073" width="32" style="286" customWidth="1"/>
    <col min="3074" max="3074" width="30" style="286" customWidth="1"/>
    <col min="3075" max="3328" width="11.44140625" style="286"/>
    <col min="3329" max="3329" width="32" style="286" customWidth="1"/>
    <col min="3330" max="3330" width="30" style="286" customWidth="1"/>
    <col min="3331" max="3584" width="11.44140625" style="286"/>
    <col min="3585" max="3585" width="32" style="286" customWidth="1"/>
    <col min="3586" max="3586" width="30" style="286" customWidth="1"/>
    <col min="3587" max="3840" width="11.44140625" style="286"/>
    <col min="3841" max="3841" width="32" style="286" customWidth="1"/>
    <col min="3842" max="3842" width="30" style="286" customWidth="1"/>
    <col min="3843" max="4096" width="11.44140625" style="286"/>
    <col min="4097" max="4097" width="32" style="286" customWidth="1"/>
    <col min="4098" max="4098" width="30" style="286" customWidth="1"/>
    <col min="4099" max="4352" width="11.44140625" style="286"/>
    <col min="4353" max="4353" width="32" style="286" customWidth="1"/>
    <col min="4354" max="4354" width="30" style="286" customWidth="1"/>
    <col min="4355" max="4608" width="11.44140625" style="286"/>
    <col min="4609" max="4609" width="32" style="286" customWidth="1"/>
    <col min="4610" max="4610" width="30" style="286" customWidth="1"/>
    <col min="4611" max="4864" width="11.44140625" style="286"/>
    <col min="4865" max="4865" width="32" style="286" customWidth="1"/>
    <col min="4866" max="4866" width="30" style="286" customWidth="1"/>
    <col min="4867" max="5120" width="11.44140625" style="286"/>
    <col min="5121" max="5121" width="32" style="286" customWidth="1"/>
    <col min="5122" max="5122" width="30" style="286" customWidth="1"/>
    <col min="5123" max="5376" width="11.44140625" style="286"/>
    <col min="5377" max="5377" width="32" style="286" customWidth="1"/>
    <col min="5378" max="5378" width="30" style="286" customWidth="1"/>
    <col min="5379" max="5632" width="11.44140625" style="286"/>
    <col min="5633" max="5633" width="32" style="286" customWidth="1"/>
    <col min="5634" max="5634" width="30" style="286" customWidth="1"/>
    <col min="5635" max="5888" width="11.44140625" style="286"/>
    <col min="5889" max="5889" width="32" style="286" customWidth="1"/>
    <col min="5890" max="5890" width="30" style="286" customWidth="1"/>
    <col min="5891" max="6144" width="11.44140625" style="286"/>
    <col min="6145" max="6145" width="32" style="286" customWidth="1"/>
    <col min="6146" max="6146" width="30" style="286" customWidth="1"/>
    <col min="6147" max="6400" width="11.44140625" style="286"/>
    <col min="6401" max="6401" width="32" style="286" customWidth="1"/>
    <col min="6402" max="6402" width="30" style="286" customWidth="1"/>
    <col min="6403" max="6656" width="11.44140625" style="286"/>
    <col min="6657" max="6657" width="32" style="286" customWidth="1"/>
    <col min="6658" max="6658" width="30" style="286" customWidth="1"/>
    <col min="6659" max="6912" width="11.44140625" style="286"/>
    <col min="6913" max="6913" width="32" style="286" customWidth="1"/>
    <col min="6914" max="6914" width="30" style="286" customWidth="1"/>
    <col min="6915" max="7168" width="11.44140625" style="286"/>
    <col min="7169" max="7169" width="32" style="286" customWidth="1"/>
    <col min="7170" max="7170" width="30" style="286" customWidth="1"/>
    <col min="7171" max="7424" width="11.44140625" style="286"/>
    <col min="7425" max="7425" width="32" style="286" customWidth="1"/>
    <col min="7426" max="7426" width="30" style="286" customWidth="1"/>
    <col min="7427" max="7680" width="11.44140625" style="286"/>
    <col min="7681" max="7681" width="32" style="286" customWidth="1"/>
    <col min="7682" max="7682" width="30" style="286" customWidth="1"/>
    <col min="7683" max="7936" width="11.44140625" style="286"/>
    <col min="7937" max="7937" width="32" style="286" customWidth="1"/>
    <col min="7938" max="7938" width="30" style="286" customWidth="1"/>
    <col min="7939" max="8192" width="11.44140625" style="286"/>
    <col min="8193" max="8193" width="32" style="286" customWidth="1"/>
    <col min="8194" max="8194" width="30" style="286" customWidth="1"/>
    <col min="8195" max="8448" width="11.44140625" style="286"/>
    <col min="8449" max="8449" width="32" style="286" customWidth="1"/>
    <col min="8450" max="8450" width="30" style="286" customWidth="1"/>
    <col min="8451" max="8704" width="11.44140625" style="286"/>
    <col min="8705" max="8705" width="32" style="286" customWidth="1"/>
    <col min="8706" max="8706" width="30" style="286" customWidth="1"/>
    <col min="8707" max="8960" width="11.44140625" style="286"/>
    <col min="8961" max="8961" width="32" style="286" customWidth="1"/>
    <col min="8962" max="8962" width="30" style="286" customWidth="1"/>
    <col min="8963" max="9216" width="11.44140625" style="286"/>
    <col min="9217" max="9217" width="32" style="286" customWidth="1"/>
    <col min="9218" max="9218" width="30" style="286" customWidth="1"/>
    <col min="9219" max="9472" width="11.44140625" style="286"/>
    <col min="9473" max="9473" width="32" style="286" customWidth="1"/>
    <col min="9474" max="9474" width="30" style="286" customWidth="1"/>
    <col min="9475" max="9728" width="11.44140625" style="286"/>
    <col min="9729" max="9729" width="32" style="286" customWidth="1"/>
    <col min="9730" max="9730" width="30" style="286" customWidth="1"/>
    <col min="9731" max="9984" width="11.44140625" style="286"/>
    <col min="9985" max="9985" width="32" style="286" customWidth="1"/>
    <col min="9986" max="9986" width="30" style="286" customWidth="1"/>
    <col min="9987" max="10240" width="11.44140625" style="286"/>
    <col min="10241" max="10241" width="32" style="286" customWidth="1"/>
    <col min="10242" max="10242" width="30" style="286" customWidth="1"/>
    <col min="10243" max="10496" width="11.44140625" style="286"/>
    <col min="10497" max="10497" width="32" style="286" customWidth="1"/>
    <col min="10498" max="10498" width="30" style="286" customWidth="1"/>
    <col min="10499" max="10752" width="11.44140625" style="286"/>
    <col min="10753" max="10753" width="32" style="286" customWidth="1"/>
    <col min="10754" max="10754" width="30" style="286" customWidth="1"/>
    <col min="10755" max="11008" width="11.44140625" style="286"/>
    <col min="11009" max="11009" width="32" style="286" customWidth="1"/>
    <col min="11010" max="11010" width="30" style="286" customWidth="1"/>
    <col min="11011" max="11264" width="11.44140625" style="286"/>
    <col min="11265" max="11265" width="32" style="286" customWidth="1"/>
    <col min="11266" max="11266" width="30" style="286" customWidth="1"/>
    <col min="11267" max="11520" width="11.44140625" style="286"/>
    <col min="11521" max="11521" width="32" style="286" customWidth="1"/>
    <col min="11522" max="11522" width="30" style="286" customWidth="1"/>
    <col min="11523" max="11776" width="11.44140625" style="286"/>
    <col min="11777" max="11777" width="32" style="286" customWidth="1"/>
    <col min="11778" max="11778" width="30" style="286" customWidth="1"/>
    <col min="11779" max="12032" width="11.44140625" style="286"/>
    <col min="12033" max="12033" width="32" style="286" customWidth="1"/>
    <col min="12034" max="12034" width="30" style="286" customWidth="1"/>
    <col min="12035" max="12288" width="11.44140625" style="286"/>
    <col min="12289" max="12289" width="32" style="286" customWidth="1"/>
    <col min="12290" max="12290" width="30" style="286" customWidth="1"/>
    <col min="12291" max="12544" width="11.44140625" style="286"/>
    <col min="12545" max="12545" width="32" style="286" customWidth="1"/>
    <col min="12546" max="12546" width="30" style="286" customWidth="1"/>
    <col min="12547" max="12800" width="11.44140625" style="286"/>
    <col min="12801" max="12801" width="32" style="286" customWidth="1"/>
    <col min="12802" max="12802" width="30" style="286" customWidth="1"/>
    <col min="12803" max="13056" width="11.44140625" style="286"/>
    <col min="13057" max="13057" width="32" style="286" customWidth="1"/>
    <col min="13058" max="13058" width="30" style="286" customWidth="1"/>
    <col min="13059" max="13312" width="11.44140625" style="286"/>
    <col min="13313" max="13313" width="32" style="286" customWidth="1"/>
    <col min="13314" max="13314" width="30" style="286" customWidth="1"/>
    <col min="13315" max="13568" width="11.44140625" style="286"/>
    <col min="13569" max="13569" width="32" style="286" customWidth="1"/>
    <col min="13570" max="13570" width="30" style="286" customWidth="1"/>
    <col min="13571" max="13824" width="11.44140625" style="286"/>
    <col min="13825" max="13825" width="32" style="286" customWidth="1"/>
    <col min="13826" max="13826" width="30" style="286" customWidth="1"/>
    <col min="13827" max="14080" width="11.44140625" style="286"/>
    <col min="14081" max="14081" width="32" style="286" customWidth="1"/>
    <col min="14082" max="14082" width="30" style="286" customWidth="1"/>
    <col min="14083" max="14336" width="11.44140625" style="286"/>
    <col min="14337" max="14337" width="32" style="286" customWidth="1"/>
    <col min="14338" max="14338" width="30" style="286" customWidth="1"/>
    <col min="14339" max="14592" width="11.44140625" style="286"/>
    <col min="14593" max="14593" width="32" style="286" customWidth="1"/>
    <col min="14594" max="14594" width="30" style="286" customWidth="1"/>
    <col min="14595" max="14848" width="11.44140625" style="286"/>
    <col min="14849" max="14849" width="32" style="286" customWidth="1"/>
    <col min="14850" max="14850" width="30" style="286" customWidth="1"/>
    <col min="14851" max="15104" width="11.44140625" style="286"/>
    <col min="15105" max="15105" width="32" style="286" customWidth="1"/>
    <col min="15106" max="15106" width="30" style="286" customWidth="1"/>
    <col min="15107" max="15360" width="11.44140625" style="286"/>
    <col min="15361" max="15361" width="32" style="286" customWidth="1"/>
    <col min="15362" max="15362" width="30" style="286" customWidth="1"/>
    <col min="15363" max="15616" width="11.44140625" style="286"/>
    <col min="15617" max="15617" width="32" style="286" customWidth="1"/>
    <col min="15618" max="15618" width="30" style="286" customWidth="1"/>
    <col min="15619" max="15872" width="11.44140625" style="286"/>
    <col min="15873" max="15873" width="32" style="286" customWidth="1"/>
    <col min="15874" max="15874" width="30" style="286" customWidth="1"/>
    <col min="15875" max="16128" width="11.44140625" style="286"/>
    <col min="16129" max="16129" width="32" style="286" customWidth="1"/>
    <col min="16130" max="16130" width="30" style="286" customWidth="1"/>
    <col min="16131" max="16384" width="11.44140625" style="286"/>
  </cols>
  <sheetData>
    <row r="1" spans="1:6" ht="18" x14ac:dyDescent="0.5">
      <c r="A1" s="286" t="str">
        <f>CONCATENATE($A$36,$B$36,$C$36)</f>
        <v>"0"</v>
      </c>
      <c r="B1" s="287" t="str">
        <f>$B$35</f>
        <v>20230101</v>
      </c>
      <c r="C1" s="288" t="s">
        <v>1000</v>
      </c>
      <c r="D1" s="286">
        <f>'Charges ovin'!C5</f>
        <v>0</v>
      </c>
      <c r="E1" s="289">
        <f>'Charges ovin'!C4</f>
        <v>0</v>
      </c>
      <c r="F1" s="288" t="s">
        <v>1001</v>
      </c>
    </row>
    <row r="2" spans="1:6" ht="18" x14ac:dyDescent="0.5">
      <c r="A2" s="286" t="str">
        <f t="shared" ref="A2:A31" si="0">CONCATENATE($A$36,$B$36,$C$36)</f>
        <v>"0"</v>
      </c>
      <c r="B2" s="287" t="str">
        <f t="shared" ref="B2:B31" si="1">$B$35</f>
        <v>20230101</v>
      </c>
      <c r="C2" s="301" t="s">
        <v>1002</v>
      </c>
      <c r="D2" s="302">
        <v>0</v>
      </c>
      <c r="E2" s="300">
        <v>0</v>
      </c>
      <c r="F2" s="288" t="s">
        <v>1003</v>
      </c>
    </row>
    <row r="3" spans="1:6" ht="18" x14ac:dyDescent="0.5">
      <c r="A3" s="286" t="str">
        <f t="shared" si="0"/>
        <v>"0"</v>
      </c>
      <c r="B3" s="287" t="str">
        <f t="shared" si="1"/>
        <v>20230101</v>
      </c>
      <c r="C3" s="301" t="s">
        <v>1004</v>
      </c>
      <c r="D3" s="302">
        <v>0</v>
      </c>
      <c r="E3" s="300">
        <v>0</v>
      </c>
      <c r="F3" s="288" t="s">
        <v>1003</v>
      </c>
    </row>
    <row r="4" spans="1:6" ht="18" x14ac:dyDescent="0.5">
      <c r="A4" s="286" t="str">
        <f t="shared" si="0"/>
        <v>"0"</v>
      </c>
      <c r="B4" s="287" t="str">
        <f t="shared" si="1"/>
        <v>20230101</v>
      </c>
      <c r="C4" s="301" t="s">
        <v>1005</v>
      </c>
      <c r="D4" s="302">
        <v>0</v>
      </c>
      <c r="E4" s="300">
        <v>0</v>
      </c>
      <c r="F4" s="288" t="s">
        <v>1003</v>
      </c>
    </row>
    <row r="5" spans="1:6" ht="18" x14ac:dyDescent="0.5">
      <c r="A5" s="286" t="str">
        <f t="shared" si="0"/>
        <v>"0"</v>
      </c>
      <c r="B5" s="287" t="str">
        <f t="shared" si="1"/>
        <v>20230101</v>
      </c>
      <c r="C5" s="301" t="s">
        <v>1006</v>
      </c>
      <c r="D5" s="302">
        <v>0</v>
      </c>
      <c r="E5" s="300">
        <v>0</v>
      </c>
      <c r="F5" s="288" t="s">
        <v>1003</v>
      </c>
    </row>
    <row r="6" spans="1:6" ht="18" x14ac:dyDescent="0.5">
      <c r="A6" s="286" t="str">
        <f t="shared" si="0"/>
        <v>"0"</v>
      </c>
      <c r="B6" s="287" t="str">
        <f t="shared" si="1"/>
        <v>20230101</v>
      </c>
      <c r="C6" s="301" t="s">
        <v>1007</v>
      </c>
      <c r="D6" s="302">
        <v>0</v>
      </c>
      <c r="E6" s="300">
        <v>0</v>
      </c>
      <c r="F6" s="288" t="s">
        <v>1003</v>
      </c>
    </row>
    <row r="7" spans="1:6" ht="18" x14ac:dyDescent="0.5">
      <c r="A7" s="286" t="str">
        <f t="shared" si="0"/>
        <v>"0"</v>
      </c>
      <c r="B7" s="287" t="str">
        <f t="shared" si="1"/>
        <v>20230101</v>
      </c>
      <c r="C7" s="301" t="s">
        <v>1008</v>
      </c>
      <c r="D7" s="302">
        <v>0</v>
      </c>
      <c r="E7" s="300">
        <v>0</v>
      </c>
      <c r="F7" s="288" t="s">
        <v>1003</v>
      </c>
    </row>
    <row r="8" spans="1:6" ht="18" x14ac:dyDescent="0.5">
      <c r="A8" s="286" t="str">
        <f t="shared" si="0"/>
        <v>"0"</v>
      </c>
      <c r="B8" s="287" t="str">
        <f t="shared" si="1"/>
        <v>20230101</v>
      </c>
      <c r="C8" s="288" t="s">
        <v>1009</v>
      </c>
      <c r="D8" s="286">
        <f>'Charges ovin'!R10</f>
        <v>0</v>
      </c>
      <c r="E8" s="289">
        <f>'Charges ovin'!R9</f>
        <v>0</v>
      </c>
      <c r="F8" s="288" t="s">
        <v>1003</v>
      </c>
    </row>
    <row r="9" spans="1:6" ht="18" x14ac:dyDescent="0.5">
      <c r="A9" s="286" t="str">
        <f t="shared" si="0"/>
        <v>"0"</v>
      </c>
      <c r="B9" s="287" t="str">
        <f t="shared" si="1"/>
        <v>20230101</v>
      </c>
      <c r="C9" s="288" t="s">
        <v>1010</v>
      </c>
      <c r="D9" s="286">
        <f>'Charges ovin'!AL10</f>
        <v>0</v>
      </c>
      <c r="E9" s="289">
        <f>'Charges ovin'!AL9</f>
        <v>0</v>
      </c>
      <c r="F9" s="288" t="s">
        <v>1003</v>
      </c>
    </row>
    <row r="10" spans="1:6" ht="18" x14ac:dyDescent="0.5">
      <c r="A10" s="286" t="str">
        <f t="shared" si="0"/>
        <v>"0"</v>
      </c>
      <c r="B10" s="287" t="str">
        <f t="shared" si="1"/>
        <v>20230101</v>
      </c>
      <c r="C10" s="301" t="s">
        <v>1011</v>
      </c>
      <c r="D10" s="302">
        <v>0</v>
      </c>
      <c r="E10" s="300">
        <v>0</v>
      </c>
      <c r="F10" s="288" t="s">
        <v>1012</v>
      </c>
    </row>
    <row r="11" spans="1:6" ht="18" x14ac:dyDescent="0.5">
      <c r="A11" s="286" t="str">
        <f t="shared" si="0"/>
        <v>"0"</v>
      </c>
      <c r="B11" s="287" t="str">
        <f t="shared" si="1"/>
        <v>20230101</v>
      </c>
      <c r="C11" s="301" t="s">
        <v>1013</v>
      </c>
      <c r="D11" s="302">
        <v>0</v>
      </c>
      <c r="E11" s="300">
        <v>0</v>
      </c>
      <c r="F11" s="288" t="s">
        <v>1012</v>
      </c>
    </row>
    <row r="12" spans="1:6" ht="18" x14ac:dyDescent="0.5">
      <c r="A12" s="286" t="str">
        <f t="shared" si="0"/>
        <v>"0"</v>
      </c>
      <c r="B12" s="287" t="str">
        <f t="shared" si="1"/>
        <v>20230101</v>
      </c>
      <c r="C12" s="288" t="s">
        <v>1014</v>
      </c>
      <c r="D12" s="286">
        <f>'Charges ovin'!C14</f>
        <v>0</v>
      </c>
      <c r="E12" s="289">
        <f>'Charges ovin'!C13</f>
        <v>0</v>
      </c>
      <c r="F12" s="288" t="s">
        <v>1012</v>
      </c>
    </row>
    <row r="13" spans="1:6" ht="18" x14ac:dyDescent="0.5">
      <c r="A13" s="286" t="str">
        <f t="shared" si="0"/>
        <v>"0"</v>
      </c>
      <c r="B13" s="287" t="str">
        <f t="shared" si="1"/>
        <v>20230101</v>
      </c>
      <c r="C13" s="288" t="s">
        <v>1015</v>
      </c>
      <c r="D13" s="286">
        <f>IF(E13=0,0,1)</f>
        <v>0</v>
      </c>
      <c r="E13" s="289">
        <f>'Charges ovin'!C20</f>
        <v>0</v>
      </c>
      <c r="F13" s="288" t="s">
        <v>1012</v>
      </c>
    </row>
    <row r="14" spans="1:6" ht="18" x14ac:dyDescent="0.5">
      <c r="A14" s="286" t="str">
        <f t="shared" si="0"/>
        <v>"0"</v>
      </c>
      <c r="B14" s="287" t="str">
        <f t="shared" si="1"/>
        <v>20230101</v>
      </c>
      <c r="C14" s="288" t="s">
        <v>1016</v>
      </c>
      <c r="D14" s="286">
        <f t="shared" ref="D14:D24" si="2">IF(E14=0,0,1)</f>
        <v>0</v>
      </c>
      <c r="E14" s="289">
        <f>'Charges ovin'!C47</f>
        <v>0</v>
      </c>
      <c r="F14" s="288" t="s">
        <v>1012</v>
      </c>
    </row>
    <row r="15" spans="1:6" ht="18" x14ac:dyDescent="0.5">
      <c r="A15" s="286" t="str">
        <f t="shared" si="0"/>
        <v>"0"</v>
      </c>
      <c r="B15" s="287" t="str">
        <f t="shared" si="1"/>
        <v>20230101</v>
      </c>
      <c r="C15" s="288" t="s">
        <v>1017</v>
      </c>
      <c r="D15" s="286">
        <f>'Charges ovin'!C45</f>
        <v>0</v>
      </c>
      <c r="E15" s="289">
        <f>'Charges ovin'!C46</f>
        <v>0</v>
      </c>
      <c r="F15" s="288" t="s">
        <v>1012</v>
      </c>
    </row>
    <row r="16" spans="1:6" ht="18" x14ac:dyDescent="0.5">
      <c r="A16" s="286" t="str">
        <f t="shared" si="0"/>
        <v>"0"</v>
      </c>
      <c r="B16" s="287" t="str">
        <f t="shared" si="1"/>
        <v>20230101</v>
      </c>
      <c r="C16" s="288" t="s">
        <v>1018</v>
      </c>
      <c r="D16" s="286">
        <f t="shared" si="2"/>
        <v>0</v>
      </c>
      <c r="E16" s="289">
        <f>'Charges ovin'!C50</f>
        <v>0</v>
      </c>
      <c r="F16" s="288" t="s">
        <v>1012</v>
      </c>
    </row>
    <row r="17" spans="1:6" ht="18" x14ac:dyDescent="0.5">
      <c r="A17" s="286" t="str">
        <f t="shared" si="0"/>
        <v>"0"</v>
      </c>
      <c r="B17" s="287" t="str">
        <f t="shared" si="1"/>
        <v>20230101</v>
      </c>
      <c r="C17" s="288" t="s">
        <v>1019</v>
      </c>
      <c r="D17" s="286">
        <f t="shared" si="2"/>
        <v>0</v>
      </c>
      <c r="E17" s="289">
        <f>'Charges ovin'!C27</f>
        <v>0</v>
      </c>
      <c r="F17" s="288" t="s">
        <v>1012</v>
      </c>
    </row>
    <row r="18" spans="1:6" ht="18" x14ac:dyDescent="0.5">
      <c r="A18" s="286" t="str">
        <f t="shared" si="0"/>
        <v>"0"</v>
      </c>
      <c r="B18" s="287" t="str">
        <f t="shared" si="1"/>
        <v>20230101</v>
      </c>
      <c r="C18" s="288" t="s">
        <v>1020</v>
      </c>
      <c r="D18" s="286">
        <f t="shared" si="2"/>
        <v>0</v>
      </c>
      <c r="E18" s="289">
        <f>'Charges ovin'!C22</f>
        <v>0</v>
      </c>
      <c r="F18" s="288" t="s">
        <v>1012</v>
      </c>
    </row>
    <row r="19" spans="1:6" ht="18" x14ac:dyDescent="0.5">
      <c r="A19" s="286" t="str">
        <f t="shared" si="0"/>
        <v>"0"</v>
      </c>
      <c r="B19" s="287" t="str">
        <f t="shared" si="1"/>
        <v>20230101</v>
      </c>
      <c r="C19" s="288" t="s">
        <v>1021</v>
      </c>
      <c r="D19" s="286">
        <f t="shared" si="2"/>
        <v>0</v>
      </c>
      <c r="E19" s="289">
        <f>'Charges ovin'!C24</f>
        <v>0</v>
      </c>
      <c r="F19" s="288" t="s">
        <v>1012</v>
      </c>
    </row>
    <row r="20" spans="1:6" ht="18" x14ac:dyDescent="0.5">
      <c r="A20" s="286" t="str">
        <f t="shared" si="0"/>
        <v>"0"</v>
      </c>
      <c r="B20" s="287" t="str">
        <f t="shared" si="1"/>
        <v>20230101</v>
      </c>
      <c r="C20" s="288" t="s">
        <v>1022</v>
      </c>
      <c r="D20" s="286">
        <f t="shared" si="2"/>
        <v>0</v>
      </c>
      <c r="E20" s="289">
        <f>'Charges ovin'!C37</f>
        <v>0</v>
      </c>
      <c r="F20" s="288" t="s">
        <v>1012</v>
      </c>
    </row>
    <row r="21" spans="1:6" ht="18" x14ac:dyDescent="0.5">
      <c r="A21" s="286" t="str">
        <f t="shared" si="0"/>
        <v>"0"</v>
      </c>
      <c r="B21" s="287" t="str">
        <f t="shared" si="1"/>
        <v>20230101</v>
      </c>
      <c r="C21" s="301" t="s">
        <v>1023</v>
      </c>
      <c r="D21" s="302">
        <f t="shared" si="2"/>
        <v>0</v>
      </c>
      <c r="E21" s="300">
        <v>0</v>
      </c>
      <c r="F21" s="288" t="s">
        <v>1012</v>
      </c>
    </row>
    <row r="22" spans="1:6" ht="18" x14ac:dyDescent="0.5">
      <c r="A22" s="286" t="str">
        <f t="shared" si="0"/>
        <v>"0"</v>
      </c>
      <c r="B22" s="287" t="str">
        <f t="shared" si="1"/>
        <v>20230101</v>
      </c>
      <c r="C22" s="288" t="s">
        <v>1024</v>
      </c>
      <c r="D22" s="286">
        <f t="shared" si="2"/>
        <v>0</v>
      </c>
      <c r="E22" s="289">
        <f>'Charges ovin'!C25</f>
        <v>0</v>
      </c>
      <c r="F22" s="288" t="s">
        <v>1012</v>
      </c>
    </row>
    <row r="23" spans="1:6" ht="18" x14ac:dyDescent="0.5">
      <c r="A23" s="286" t="str">
        <f t="shared" si="0"/>
        <v>"0"</v>
      </c>
      <c r="B23" s="287" t="str">
        <f t="shared" si="1"/>
        <v>20230101</v>
      </c>
      <c r="C23" s="288" t="s">
        <v>1025</v>
      </c>
      <c r="D23" s="286">
        <f t="shared" si="2"/>
        <v>0</v>
      </c>
      <c r="E23" s="289">
        <f>'Charges ovin'!E23</f>
        <v>0</v>
      </c>
      <c r="F23" s="288" t="s">
        <v>1012</v>
      </c>
    </row>
    <row r="24" spans="1:6" ht="18" x14ac:dyDescent="0.5">
      <c r="A24" s="286" t="str">
        <f t="shared" si="0"/>
        <v>"0"</v>
      </c>
      <c r="B24" s="287" t="str">
        <f t="shared" si="1"/>
        <v>20230101</v>
      </c>
      <c r="C24" s="288" t="s">
        <v>1026</v>
      </c>
      <c r="D24" s="286">
        <f t="shared" si="2"/>
        <v>0</v>
      </c>
      <c r="E24" s="289">
        <f>'Charges ovin'!C23-'Charges ovin'!E23</f>
        <v>0</v>
      </c>
      <c r="F24" s="288" t="s">
        <v>1012</v>
      </c>
    </row>
    <row r="25" spans="1:6" ht="18" x14ac:dyDescent="0.5">
      <c r="A25" s="286" t="str">
        <f t="shared" si="0"/>
        <v>"0"</v>
      </c>
      <c r="B25" s="287" t="str">
        <f t="shared" si="1"/>
        <v>20230101</v>
      </c>
      <c r="C25" s="288" t="s">
        <v>1027</v>
      </c>
      <c r="D25" s="289">
        <f>'Charges ovin'!C29</f>
        <v>0</v>
      </c>
      <c r="E25" s="289">
        <f>'Charges ovin'!C29</f>
        <v>0</v>
      </c>
      <c r="F25" s="288" t="s">
        <v>1012</v>
      </c>
    </row>
    <row r="26" spans="1:6" ht="18" x14ac:dyDescent="0.5">
      <c r="A26" s="286" t="str">
        <f t="shared" si="0"/>
        <v>"0"</v>
      </c>
      <c r="B26" s="287" t="str">
        <f t="shared" si="1"/>
        <v>20230101</v>
      </c>
      <c r="C26" s="288" t="s">
        <v>1028</v>
      </c>
      <c r="D26" s="289">
        <f>'Charges ovin'!C32</f>
        <v>0</v>
      </c>
      <c r="E26" s="289">
        <f>'Charges ovin'!C29</f>
        <v>0</v>
      </c>
      <c r="F26" s="288" t="s">
        <v>1012</v>
      </c>
    </row>
    <row r="27" spans="1:6" ht="18" x14ac:dyDescent="0.5">
      <c r="A27" s="286" t="str">
        <f t="shared" si="0"/>
        <v>"0"</v>
      </c>
      <c r="B27" s="287" t="str">
        <f t="shared" si="1"/>
        <v>20230101</v>
      </c>
      <c r="C27" s="288" t="s">
        <v>1029</v>
      </c>
      <c r="D27" s="289">
        <f>'Charges ovin'!C34</f>
        <v>0</v>
      </c>
      <c r="E27" s="289">
        <f>'Charges ovin'!C33</f>
        <v>0</v>
      </c>
      <c r="F27" s="288" t="s">
        <v>1012</v>
      </c>
    </row>
    <row r="28" spans="1:6" ht="18" x14ac:dyDescent="0.5">
      <c r="A28" s="286" t="str">
        <f t="shared" si="0"/>
        <v>"0"</v>
      </c>
      <c r="B28" s="287" t="str">
        <f t="shared" si="1"/>
        <v>20230101</v>
      </c>
      <c r="C28" s="288" t="s">
        <v>1030</v>
      </c>
      <c r="D28" s="286">
        <f>IF(E28=0,0,1)</f>
        <v>0</v>
      </c>
      <c r="E28" s="289">
        <f>'Charges ovin'!C42</f>
        <v>0</v>
      </c>
      <c r="F28" s="288" t="s">
        <v>1012</v>
      </c>
    </row>
    <row r="29" spans="1:6" ht="18" x14ac:dyDescent="0.5">
      <c r="A29" s="286" t="str">
        <f t="shared" si="0"/>
        <v>"0"</v>
      </c>
      <c r="B29" s="287" t="str">
        <f t="shared" si="1"/>
        <v>20230101</v>
      </c>
      <c r="C29" s="288" t="s">
        <v>1031</v>
      </c>
      <c r="D29" s="286">
        <f>IF(E29=0,0,1)</f>
        <v>0</v>
      </c>
      <c r="E29" s="289">
        <f>'Charges ovin'!C41</f>
        <v>0</v>
      </c>
      <c r="F29" s="288" t="s">
        <v>1012</v>
      </c>
    </row>
    <row r="30" spans="1:6" ht="18" x14ac:dyDescent="0.5">
      <c r="A30" s="286" t="str">
        <f t="shared" si="0"/>
        <v>"0"</v>
      </c>
      <c r="B30" s="287" t="str">
        <f t="shared" si="1"/>
        <v>20230101</v>
      </c>
      <c r="C30" s="288" t="s">
        <v>1032</v>
      </c>
      <c r="D30" s="289">
        <f>'Charges ovin'!C18</f>
        <v>0</v>
      </c>
      <c r="E30" s="289">
        <f>'Charges ovin'!C17</f>
        <v>0</v>
      </c>
      <c r="F30" s="288" t="s">
        <v>1033</v>
      </c>
    </row>
    <row r="31" spans="1:6" ht="18" x14ac:dyDescent="0.5">
      <c r="A31" s="286" t="str">
        <f t="shared" si="0"/>
        <v>"0"</v>
      </c>
      <c r="B31" s="287" t="str">
        <f t="shared" si="1"/>
        <v>20230101</v>
      </c>
      <c r="C31" s="288" t="s">
        <v>1034</v>
      </c>
      <c r="D31" s="286">
        <f>IF(E31=0,0,1)</f>
        <v>0</v>
      </c>
      <c r="E31" s="289">
        <f>'Charges ovin'!C19</f>
        <v>0</v>
      </c>
      <c r="F31" s="288" t="s">
        <v>1033</v>
      </c>
    </row>
    <row r="32" spans="1:6" x14ac:dyDescent="0.5">
      <c r="B32" s="290"/>
      <c r="C32" s="288"/>
      <c r="D32" s="289"/>
      <c r="E32" s="289"/>
      <c r="F32" s="288"/>
    </row>
    <row r="33" spans="1:6" ht="18" x14ac:dyDescent="0.5">
      <c r="B33" s="291">
        <v>42401</v>
      </c>
      <c r="C33" s="288"/>
      <c r="D33" s="289"/>
      <c r="E33" s="289"/>
      <c r="F33" s="288"/>
    </row>
    <row r="34" spans="1:6" ht="57.6" x14ac:dyDescent="0.5">
      <c r="A34" s="292" t="s">
        <v>1035</v>
      </c>
      <c r="B34" s="292" t="s">
        <v>109</v>
      </c>
      <c r="C34" s="292" t="s">
        <v>1036</v>
      </c>
      <c r="D34" s="292" t="s">
        <v>1037</v>
      </c>
      <c r="E34" s="292" t="s">
        <v>115</v>
      </c>
      <c r="F34" s="288" t="s">
        <v>1038</v>
      </c>
    </row>
    <row r="35" spans="1:6" ht="18" x14ac:dyDescent="0.5">
      <c r="B35" s="291" t="str">
        <f>CONCATENATE(Exploitation!B2,E38,F38)</f>
        <v>20230101</v>
      </c>
    </row>
    <row r="36" spans="1:6" x14ac:dyDescent="0.5">
      <c r="A36" s="286" t="s">
        <v>1039</v>
      </c>
      <c r="B36" s="290">
        <f>Exploitation!B11</f>
        <v>0</v>
      </c>
      <c r="C36" s="288" t="s">
        <v>1039</v>
      </c>
    </row>
    <row r="37" spans="1:6" x14ac:dyDescent="0.5">
      <c r="B37" s="288"/>
      <c r="C37" s="288"/>
    </row>
    <row r="38" spans="1:6" ht="18" x14ac:dyDescent="0.5">
      <c r="A38" s="293"/>
      <c r="B38" s="291"/>
      <c r="E38" s="294" t="s">
        <v>1040</v>
      </c>
      <c r="F38" s="294" t="s">
        <v>1040</v>
      </c>
    </row>
    <row r="39" spans="1:6" ht="18" x14ac:dyDescent="0.5">
      <c r="A39" s="293"/>
      <c r="B39" s="291"/>
      <c r="E39" s="294"/>
      <c r="F39" s="294"/>
    </row>
    <row r="40" spans="1:6" ht="18" x14ac:dyDescent="0.5">
      <c r="A40" s="293"/>
      <c r="B40" s="291"/>
      <c r="E40" s="294"/>
      <c r="F40" s="294"/>
    </row>
    <row r="41" spans="1:6" ht="18" x14ac:dyDescent="0.5">
      <c r="A41" s="293"/>
      <c r="B41" s="291"/>
      <c r="E41" s="294"/>
      <c r="F41" s="294"/>
    </row>
    <row r="42" spans="1:6" ht="18" x14ac:dyDescent="0.5">
      <c r="A42" s="293"/>
      <c r="B42" s="291"/>
      <c r="E42" s="294"/>
      <c r="F42" s="294"/>
    </row>
    <row r="43" spans="1:6" ht="18" x14ac:dyDescent="0.5">
      <c r="A43" s="293"/>
      <c r="B43" s="291"/>
      <c r="E43" s="294"/>
      <c r="F43" s="294"/>
    </row>
    <row r="44" spans="1:6" ht="18" x14ac:dyDescent="0.5">
      <c r="A44" s="293"/>
      <c r="B44" s="291"/>
      <c r="E44" s="294"/>
      <c r="F44" s="294"/>
    </row>
    <row r="45" spans="1:6" ht="18" x14ac:dyDescent="0.5">
      <c r="A45" s="293"/>
      <c r="B45" s="291"/>
      <c r="E45" s="294"/>
      <c r="F45" s="294"/>
    </row>
    <row r="46" spans="1:6" ht="18" x14ac:dyDescent="0.5">
      <c r="A46" s="293"/>
      <c r="B46" s="291"/>
      <c r="E46" s="294"/>
      <c r="F46" s="294"/>
    </row>
    <row r="47" spans="1:6" ht="18" x14ac:dyDescent="0.5">
      <c r="A47" s="293"/>
      <c r="B47" s="291"/>
      <c r="E47" s="294"/>
      <c r="F47" s="294"/>
    </row>
    <row r="48" spans="1:6" ht="18" x14ac:dyDescent="0.5">
      <c r="A48" s="293"/>
      <c r="B48" s="291"/>
      <c r="E48" s="294"/>
      <c r="F48" s="294"/>
    </row>
    <row r="49" spans="1:6" ht="18" x14ac:dyDescent="0.5">
      <c r="A49" s="293"/>
      <c r="B49" s="291"/>
      <c r="E49" s="294"/>
      <c r="F49" s="294"/>
    </row>
    <row r="50" spans="1:6" ht="18" x14ac:dyDescent="0.5">
      <c r="A50" s="293"/>
      <c r="B50" s="291"/>
      <c r="E50" s="294"/>
      <c r="F50" s="294"/>
    </row>
    <row r="51" spans="1:6" ht="18" x14ac:dyDescent="0.5">
      <c r="A51" s="293"/>
      <c r="B51" s="291"/>
      <c r="E51" s="294"/>
      <c r="F51" s="294"/>
    </row>
    <row r="52" spans="1:6" ht="18" x14ac:dyDescent="0.5">
      <c r="A52" s="293"/>
      <c r="B52" s="291"/>
      <c r="E52" s="294"/>
      <c r="F52" s="294"/>
    </row>
    <row r="53" spans="1:6" ht="18" x14ac:dyDescent="0.5">
      <c r="A53" s="293"/>
      <c r="B53" s="291"/>
      <c r="E53" s="294"/>
      <c r="F53" s="294"/>
    </row>
    <row r="54" spans="1:6" ht="18" x14ac:dyDescent="0.5">
      <c r="A54" s="293"/>
      <c r="B54" s="291"/>
      <c r="E54" s="294"/>
      <c r="F54" s="294"/>
    </row>
    <row r="55" spans="1:6" ht="18" x14ac:dyDescent="0.5">
      <c r="A55" s="293"/>
      <c r="B55" s="291"/>
      <c r="E55" s="294"/>
      <c r="F55" s="294"/>
    </row>
    <row r="56" spans="1:6" ht="18" x14ac:dyDescent="0.5">
      <c r="A56" s="293"/>
      <c r="B56" s="291"/>
      <c r="E56" s="294"/>
      <c r="F56" s="294"/>
    </row>
    <row r="57" spans="1:6" ht="18" x14ac:dyDescent="0.5">
      <c r="A57" s="293"/>
      <c r="B57" s="291"/>
      <c r="E57" s="294"/>
      <c r="F57" s="294"/>
    </row>
    <row r="58" spans="1:6" ht="18" x14ac:dyDescent="0.5">
      <c r="A58" s="293"/>
      <c r="B58" s="291"/>
      <c r="E58" s="294"/>
      <c r="F58" s="294"/>
    </row>
    <row r="59" spans="1:6" ht="18" x14ac:dyDescent="0.5">
      <c r="A59" s="293"/>
      <c r="B59" s="291"/>
      <c r="E59" s="294"/>
      <c r="F59" s="294"/>
    </row>
    <row r="60" spans="1:6" ht="18" x14ac:dyDescent="0.5">
      <c r="A60" s="293"/>
      <c r="B60" s="291"/>
      <c r="E60" s="294"/>
      <c r="F60" s="294"/>
    </row>
    <row r="61" spans="1:6" ht="18" x14ac:dyDescent="0.5">
      <c r="A61" s="293"/>
      <c r="B61" s="291"/>
      <c r="E61" s="294"/>
      <c r="F61" s="294"/>
    </row>
    <row r="62" spans="1:6" x14ac:dyDescent="0.5">
      <c r="B62" s="288"/>
      <c r="C62" s="288"/>
    </row>
    <row r="63" spans="1:6" x14ac:dyDescent="0.5">
      <c r="B63" s="288"/>
      <c r="C63" s="288"/>
    </row>
    <row r="64" spans="1:6" x14ac:dyDescent="0.5">
      <c r="B64" s="288"/>
      <c r="C64" s="288"/>
    </row>
    <row r="65" spans="2:3" x14ac:dyDescent="0.5">
      <c r="B65" s="288"/>
      <c r="C65" s="288"/>
    </row>
    <row r="66" spans="2:3" x14ac:dyDescent="0.5">
      <c r="B66" s="288"/>
      <c r="C66" s="288"/>
    </row>
    <row r="67" spans="2:3" x14ac:dyDescent="0.5">
      <c r="B67" s="288"/>
      <c r="C67" s="288"/>
    </row>
    <row r="68" spans="2:3" x14ac:dyDescent="0.5">
      <c r="B68" s="288"/>
      <c r="C68" s="288"/>
    </row>
    <row r="69" spans="2:3" x14ac:dyDescent="0.5">
      <c r="B69" s="288"/>
      <c r="C69" s="288"/>
    </row>
    <row r="70" spans="2:3" x14ac:dyDescent="0.5">
      <c r="B70" s="288"/>
      <c r="C70" s="288"/>
    </row>
    <row r="71" spans="2:3" x14ac:dyDescent="0.5">
      <c r="B71" s="288"/>
      <c r="C71" s="288"/>
    </row>
    <row r="72" spans="2:3" x14ac:dyDescent="0.5">
      <c r="B72" s="288"/>
      <c r="C72" s="288"/>
    </row>
    <row r="73" spans="2:3" x14ac:dyDescent="0.5">
      <c r="B73" s="288"/>
      <c r="C73" s="288"/>
    </row>
    <row r="74" spans="2:3" x14ac:dyDescent="0.5">
      <c r="B74" s="288"/>
      <c r="C74" s="288"/>
    </row>
    <row r="75" spans="2:3" x14ac:dyDescent="0.5">
      <c r="B75" s="288"/>
      <c r="C75" s="288"/>
    </row>
    <row r="76" spans="2:3" x14ac:dyDescent="0.5">
      <c r="B76" s="288"/>
      <c r="C76" s="288"/>
    </row>
    <row r="77" spans="2:3" x14ac:dyDescent="0.5">
      <c r="B77" s="288"/>
      <c r="C77" s="288"/>
    </row>
    <row r="78" spans="2:3" x14ac:dyDescent="0.5">
      <c r="B78" s="288"/>
      <c r="C78" s="288"/>
    </row>
    <row r="79" spans="2:3" x14ac:dyDescent="0.5">
      <c r="B79" s="288"/>
      <c r="C79" s="288"/>
    </row>
    <row r="80" spans="2:3" x14ac:dyDescent="0.5">
      <c r="B80" s="288"/>
      <c r="C80" s="288"/>
    </row>
    <row r="81" spans="2:3" x14ac:dyDescent="0.5">
      <c r="B81" s="288"/>
      <c r="C81" s="288"/>
    </row>
    <row r="82" spans="2:3" x14ac:dyDescent="0.5">
      <c r="B82" s="288"/>
      <c r="C82" s="288"/>
    </row>
    <row r="83" spans="2:3" x14ac:dyDescent="0.5">
      <c r="B83" s="288"/>
      <c r="C83" s="288"/>
    </row>
    <row r="84" spans="2:3" x14ac:dyDescent="0.5">
      <c r="B84" s="288"/>
      <c r="C84" s="288"/>
    </row>
    <row r="85" spans="2:3" x14ac:dyDescent="0.5">
      <c r="B85" s="288"/>
      <c r="C85" s="288"/>
    </row>
    <row r="86" spans="2:3" x14ac:dyDescent="0.5">
      <c r="B86" s="288"/>
      <c r="C86" s="288"/>
    </row>
    <row r="87" spans="2:3" x14ac:dyDescent="0.5">
      <c r="B87" s="288"/>
      <c r="C87" s="288"/>
    </row>
    <row r="88" spans="2:3" x14ac:dyDescent="0.5">
      <c r="B88" s="288"/>
      <c r="C88" s="288"/>
    </row>
    <row r="89" spans="2:3" x14ac:dyDescent="0.5">
      <c r="B89" s="288"/>
      <c r="C89" s="288"/>
    </row>
    <row r="90" spans="2:3" x14ac:dyDescent="0.5">
      <c r="B90" s="288"/>
      <c r="C90" s="288"/>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18B30-7217-4B36-B1B4-785F10DFD5EC}">
  <dimension ref="A1:G47"/>
  <sheetViews>
    <sheetView topLeftCell="A10" workbookViewId="0">
      <pane ySplit="9870" topLeftCell="A47" activePane="bottomLeft"/>
      <selection activeCell="H14" sqref="H14"/>
      <selection pane="bottomLeft" activeCell="A38" sqref="A38"/>
    </sheetView>
  </sheetViews>
  <sheetFormatPr baseColWidth="10" defaultColWidth="11" defaultRowHeight="30" customHeight="1" x14ac:dyDescent="0.5"/>
  <cols>
    <col min="1" max="1" width="29" style="286" bestFit="1" customWidth="1"/>
    <col min="2" max="256" width="11.44140625" style="286"/>
    <col min="257" max="257" width="29" style="286" bestFit="1" customWidth="1"/>
    <col min="258" max="512" width="11.44140625" style="286"/>
    <col min="513" max="513" width="29" style="286" bestFit="1" customWidth="1"/>
    <col min="514" max="768" width="11.44140625" style="286"/>
    <col min="769" max="769" width="29" style="286" bestFit="1" customWidth="1"/>
    <col min="770" max="1024" width="11.44140625" style="286"/>
    <col min="1025" max="1025" width="29" style="286" bestFit="1" customWidth="1"/>
    <col min="1026" max="1280" width="11.44140625" style="286"/>
    <col min="1281" max="1281" width="29" style="286" bestFit="1" customWidth="1"/>
    <col min="1282" max="1536" width="11.44140625" style="286"/>
    <col min="1537" max="1537" width="29" style="286" bestFit="1" customWidth="1"/>
    <col min="1538" max="1792" width="11.44140625" style="286"/>
    <col min="1793" max="1793" width="29" style="286" bestFit="1" customWidth="1"/>
    <col min="1794" max="2048" width="11.44140625" style="286"/>
    <col min="2049" max="2049" width="29" style="286" bestFit="1" customWidth="1"/>
    <col min="2050" max="2304" width="11.44140625" style="286"/>
    <col min="2305" max="2305" width="29" style="286" bestFit="1" customWidth="1"/>
    <col min="2306" max="2560" width="11.44140625" style="286"/>
    <col min="2561" max="2561" width="29" style="286" bestFit="1" customWidth="1"/>
    <col min="2562" max="2816" width="11.44140625" style="286"/>
    <col min="2817" max="2817" width="29" style="286" bestFit="1" customWidth="1"/>
    <col min="2818" max="3072" width="11.44140625" style="286"/>
    <col min="3073" max="3073" width="29" style="286" bestFit="1" customWidth="1"/>
    <col min="3074" max="3328" width="11.44140625" style="286"/>
    <col min="3329" max="3329" width="29" style="286" bestFit="1" customWidth="1"/>
    <col min="3330" max="3584" width="11.44140625" style="286"/>
    <col min="3585" max="3585" width="29" style="286" bestFit="1" customWidth="1"/>
    <col min="3586" max="3840" width="11.44140625" style="286"/>
    <col min="3841" max="3841" width="29" style="286" bestFit="1" customWidth="1"/>
    <col min="3842" max="4096" width="11.44140625" style="286"/>
    <col min="4097" max="4097" width="29" style="286" bestFit="1" customWidth="1"/>
    <col min="4098" max="4352" width="11.44140625" style="286"/>
    <col min="4353" max="4353" width="29" style="286" bestFit="1" customWidth="1"/>
    <col min="4354" max="4608" width="11.44140625" style="286"/>
    <col min="4609" max="4609" width="29" style="286" bestFit="1" customWidth="1"/>
    <col min="4610" max="4864" width="11.44140625" style="286"/>
    <col min="4865" max="4865" width="29" style="286" bestFit="1" customWidth="1"/>
    <col min="4866" max="5120" width="11.44140625" style="286"/>
    <col min="5121" max="5121" width="29" style="286" bestFit="1" customWidth="1"/>
    <col min="5122" max="5376" width="11.44140625" style="286"/>
    <col min="5377" max="5377" width="29" style="286" bestFit="1" customWidth="1"/>
    <col min="5378" max="5632" width="11.44140625" style="286"/>
    <col min="5633" max="5633" width="29" style="286" bestFit="1" customWidth="1"/>
    <col min="5634" max="5888" width="11.44140625" style="286"/>
    <col min="5889" max="5889" width="29" style="286" bestFit="1" customWidth="1"/>
    <col min="5890" max="6144" width="11.44140625" style="286"/>
    <col min="6145" max="6145" width="29" style="286" bestFit="1" customWidth="1"/>
    <col min="6146" max="6400" width="11.44140625" style="286"/>
    <col min="6401" max="6401" width="29" style="286" bestFit="1" customWidth="1"/>
    <col min="6402" max="6656" width="11.44140625" style="286"/>
    <col min="6657" max="6657" width="29" style="286" bestFit="1" customWidth="1"/>
    <col min="6658" max="6912" width="11.44140625" style="286"/>
    <col min="6913" max="6913" width="29" style="286" bestFit="1" customWidth="1"/>
    <col min="6914" max="7168" width="11.44140625" style="286"/>
    <col min="7169" max="7169" width="29" style="286" bestFit="1" customWidth="1"/>
    <col min="7170" max="7424" width="11.44140625" style="286"/>
    <col min="7425" max="7425" width="29" style="286" bestFit="1" customWidth="1"/>
    <col min="7426" max="7680" width="11.44140625" style="286"/>
    <col min="7681" max="7681" width="29" style="286" bestFit="1" customWidth="1"/>
    <col min="7682" max="7936" width="11.44140625" style="286"/>
    <col min="7937" max="7937" width="29" style="286" bestFit="1" customWidth="1"/>
    <col min="7938" max="8192" width="11.44140625" style="286"/>
    <col min="8193" max="8193" width="29" style="286" bestFit="1" customWidth="1"/>
    <col min="8194" max="8448" width="11.44140625" style="286"/>
    <col min="8449" max="8449" width="29" style="286" bestFit="1" customWidth="1"/>
    <col min="8450" max="8704" width="11.44140625" style="286"/>
    <col min="8705" max="8705" width="29" style="286" bestFit="1" customWidth="1"/>
    <col min="8706" max="8960" width="11.44140625" style="286"/>
    <col min="8961" max="8961" width="29" style="286" bestFit="1" customWidth="1"/>
    <col min="8962" max="9216" width="11.44140625" style="286"/>
    <col min="9217" max="9217" width="29" style="286" bestFit="1" customWidth="1"/>
    <col min="9218" max="9472" width="11.44140625" style="286"/>
    <col min="9473" max="9473" width="29" style="286" bestFit="1" customWidth="1"/>
    <col min="9474" max="9728" width="11.44140625" style="286"/>
    <col min="9729" max="9729" width="29" style="286" bestFit="1" customWidth="1"/>
    <col min="9730" max="9984" width="11.44140625" style="286"/>
    <col min="9985" max="9985" width="29" style="286" bestFit="1" customWidth="1"/>
    <col min="9986" max="10240" width="11.44140625" style="286"/>
    <col min="10241" max="10241" width="29" style="286" bestFit="1" customWidth="1"/>
    <col min="10242" max="10496" width="11.44140625" style="286"/>
    <col min="10497" max="10497" width="29" style="286" bestFit="1" customWidth="1"/>
    <col min="10498" max="10752" width="11.44140625" style="286"/>
    <col min="10753" max="10753" width="29" style="286" bestFit="1" customWidth="1"/>
    <col min="10754" max="11008" width="11.44140625" style="286"/>
    <col min="11009" max="11009" width="29" style="286" bestFit="1" customWidth="1"/>
    <col min="11010" max="11264" width="11.44140625" style="286"/>
    <col min="11265" max="11265" width="29" style="286" bestFit="1" customWidth="1"/>
    <col min="11266" max="11520" width="11.44140625" style="286"/>
    <col min="11521" max="11521" width="29" style="286" bestFit="1" customWidth="1"/>
    <col min="11522" max="11776" width="11.44140625" style="286"/>
    <col min="11777" max="11777" width="29" style="286" bestFit="1" customWidth="1"/>
    <col min="11778" max="12032" width="11.44140625" style="286"/>
    <col min="12033" max="12033" width="29" style="286" bestFit="1" customWidth="1"/>
    <col min="12034" max="12288" width="11.44140625" style="286"/>
    <col min="12289" max="12289" width="29" style="286" bestFit="1" customWidth="1"/>
    <col min="12290" max="12544" width="11.44140625" style="286"/>
    <col min="12545" max="12545" width="29" style="286" bestFit="1" customWidth="1"/>
    <col min="12546" max="12800" width="11.44140625" style="286"/>
    <col min="12801" max="12801" width="29" style="286" bestFit="1" customWidth="1"/>
    <col min="12802" max="13056" width="11.44140625" style="286"/>
    <col min="13057" max="13057" width="29" style="286" bestFit="1" customWidth="1"/>
    <col min="13058" max="13312" width="11.44140625" style="286"/>
    <col min="13313" max="13313" width="29" style="286" bestFit="1" customWidth="1"/>
    <col min="13314" max="13568" width="11.44140625" style="286"/>
    <col min="13569" max="13569" width="29" style="286" bestFit="1" customWidth="1"/>
    <col min="13570" max="13824" width="11.44140625" style="286"/>
    <col min="13825" max="13825" width="29" style="286" bestFit="1" customWidth="1"/>
    <col min="13826" max="14080" width="11.44140625" style="286"/>
    <col min="14081" max="14081" width="29" style="286" bestFit="1" customWidth="1"/>
    <col min="14082" max="14336" width="11.44140625" style="286"/>
    <col min="14337" max="14337" width="29" style="286" bestFit="1" customWidth="1"/>
    <col min="14338" max="14592" width="11.44140625" style="286"/>
    <col min="14593" max="14593" width="29" style="286" bestFit="1" customWidth="1"/>
    <col min="14594" max="14848" width="11.44140625" style="286"/>
    <col min="14849" max="14849" width="29" style="286" bestFit="1" customWidth="1"/>
    <col min="14850" max="15104" width="11.44140625" style="286"/>
    <col min="15105" max="15105" width="29" style="286" bestFit="1" customWidth="1"/>
    <col min="15106" max="15360" width="11.44140625" style="286"/>
    <col min="15361" max="15361" width="29" style="286" bestFit="1" customWidth="1"/>
    <col min="15362" max="15616" width="11.44140625" style="286"/>
    <col min="15617" max="15617" width="29" style="286" bestFit="1" customWidth="1"/>
    <col min="15618" max="15872" width="11.44140625" style="286"/>
    <col min="15873" max="15873" width="29" style="286" bestFit="1" customWidth="1"/>
    <col min="15874" max="16128" width="11.44140625" style="286"/>
    <col min="16129" max="16129" width="29" style="286" bestFit="1" customWidth="1"/>
    <col min="16130" max="16384" width="11.44140625" style="286"/>
  </cols>
  <sheetData>
    <row r="1" spans="1:7" ht="30" customHeight="1" x14ac:dyDescent="0.5">
      <c r="A1" s="305" t="s">
        <v>1041</v>
      </c>
      <c r="B1" s="306" t="s">
        <v>1042</v>
      </c>
      <c r="C1" s="309" t="s">
        <v>1000</v>
      </c>
      <c r="D1" s="305">
        <f>GETPIVOTDATA("Somme de Montant",Calcule!$A$104,"Commercialisation","Circuit long","Type animaux","Agneaux lourds standards")</f>
        <v>0</v>
      </c>
      <c r="E1" s="305">
        <f>GETPIVOTDATA("Somme de Nombre",Calcule!$A$104,"Commercialisation","Circuit long","Type animaux","Agneaux lourds standards")</f>
        <v>0</v>
      </c>
      <c r="F1" s="305">
        <f>GETPIVOTDATA("Somme de Poids carcasse",Calcule!$A$104,"Commercialisation","Circuit long","Type animaux","Agneaux lourds standards")</f>
        <v>0</v>
      </c>
      <c r="G1" s="310" t="s">
        <v>1043</v>
      </c>
    </row>
    <row r="2" spans="1:7" ht="30" customHeight="1" x14ac:dyDescent="0.5">
      <c r="A2" s="305" t="s">
        <v>1041</v>
      </c>
      <c r="B2" s="306" t="s">
        <v>1042</v>
      </c>
      <c r="C2" s="311" t="s">
        <v>1044</v>
      </c>
      <c r="D2" s="305">
        <f>GETPIVOTDATA("Somme de Montant",Calcule!$A$104,"Commercialisation","Circuit long","Type animaux","Agneaux lourds label")+GETPIVOTDATA("Somme de Montant",Calcule!$A$104,"Commercialisation","Circuit long","Type animaux","Agneaux lourd adret")</f>
        <v>0</v>
      </c>
      <c r="E2" s="305">
        <f>GETPIVOTDATA("Somme de Nombre",Calcule!$A$104,"Commercialisation","Circuit long","Type animaux","Agneaux lourd adret")+GETPIVOTDATA("Somme de Nombre",Calcule!$A$104,"Commercialisation","Circuit long","Type animaux","Agneaux lourds label")</f>
        <v>0</v>
      </c>
      <c r="F2" s="305">
        <f>GETPIVOTDATA("Somme de Poids carcasse",Calcule!$A$104,"Commercialisation","Circuit long","Type animaux","Agneaux lourds label")+GETPIVOTDATA("Somme de Poids carcasse",Calcule!$A$104,"Commercialisation","Circuit long","Type animaux","Agneaux lourd adret")</f>
        <v>0</v>
      </c>
      <c r="G2" s="310" t="s">
        <v>1043</v>
      </c>
    </row>
    <row r="3" spans="1:7" ht="30" customHeight="1" x14ac:dyDescent="0.5">
      <c r="A3" s="305" t="s">
        <v>1041</v>
      </c>
      <c r="B3" s="306" t="s">
        <v>1042</v>
      </c>
      <c r="C3" s="312" t="s">
        <v>1045</v>
      </c>
      <c r="D3" s="305">
        <f>GETPIVOTDATA("Somme de Montant",Calcule!$A$104,"Commercialisation","Circuit long","Type animaux","Agneaux lourds bio")</f>
        <v>0</v>
      </c>
      <c r="E3" s="305">
        <f>GETPIVOTDATA("Somme de Nombre",Calcule!$A$104,"Commercialisation","Circuit long","Type animaux","Agneaux lourds bio")</f>
        <v>0</v>
      </c>
      <c r="F3" s="305">
        <f>GETPIVOTDATA("Somme de Poids carcasse",Calcule!$A$104,"Commercialisation","Circuit long","Type animaux","Agneaux lourds bio")</f>
        <v>0</v>
      </c>
      <c r="G3" s="310" t="s">
        <v>1043</v>
      </c>
    </row>
    <row r="4" spans="1:7" ht="30" customHeight="1" x14ac:dyDescent="0.5">
      <c r="A4" s="305" t="s">
        <v>1041</v>
      </c>
      <c r="B4" s="306" t="s">
        <v>1042</v>
      </c>
      <c r="C4" s="311" t="s">
        <v>1046</v>
      </c>
      <c r="D4" s="305">
        <v>0</v>
      </c>
      <c r="E4" s="305">
        <v>0</v>
      </c>
      <c r="F4" s="305">
        <v>0</v>
      </c>
      <c r="G4" s="310" t="s">
        <v>1043</v>
      </c>
    </row>
    <row r="5" spans="1:7" ht="30" customHeight="1" x14ac:dyDescent="0.5">
      <c r="A5" s="305" t="s">
        <v>1041</v>
      </c>
      <c r="B5" s="306" t="s">
        <v>1042</v>
      </c>
      <c r="C5" s="312" t="s">
        <v>1047</v>
      </c>
      <c r="D5" s="305">
        <v>0</v>
      </c>
      <c r="E5" s="305">
        <v>0</v>
      </c>
      <c r="F5" s="305">
        <v>0</v>
      </c>
      <c r="G5" s="310" t="s">
        <v>1043</v>
      </c>
    </row>
    <row r="6" spans="1:7" ht="30" customHeight="1" x14ac:dyDescent="0.5">
      <c r="A6" s="305" t="s">
        <v>1041</v>
      </c>
      <c r="B6" s="306" t="s">
        <v>1042</v>
      </c>
      <c r="C6" s="311" t="s">
        <v>1048</v>
      </c>
      <c r="D6" s="305">
        <v>0</v>
      </c>
      <c r="E6" s="305">
        <v>0</v>
      </c>
      <c r="F6" s="305">
        <v>0</v>
      </c>
      <c r="G6" s="310" t="s">
        <v>1043</v>
      </c>
    </row>
    <row r="7" spans="1:7" ht="30" customHeight="1" x14ac:dyDescent="0.5">
      <c r="A7" s="305" t="s">
        <v>1041</v>
      </c>
      <c r="B7" s="306" t="s">
        <v>1042</v>
      </c>
      <c r="C7" s="312" t="s">
        <v>1049</v>
      </c>
      <c r="D7" s="305">
        <v>0</v>
      </c>
      <c r="E7" s="305">
        <v>0</v>
      </c>
      <c r="F7" s="305">
        <v>0</v>
      </c>
      <c r="G7" s="310" t="s">
        <v>1043</v>
      </c>
    </row>
    <row r="8" spans="1:7" ht="30" customHeight="1" x14ac:dyDescent="0.5">
      <c r="A8" s="305" t="s">
        <v>1041</v>
      </c>
      <c r="B8" s="306" t="s">
        <v>1042</v>
      </c>
      <c r="C8" s="311" t="s">
        <v>1011</v>
      </c>
      <c r="D8" s="305">
        <v>0</v>
      </c>
      <c r="E8" s="305">
        <v>0</v>
      </c>
      <c r="F8" s="305">
        <v>0</v>
      </c>
      <c r="G8" s="310" t="s">
        <v>1043</v>
      </c>
    </row>
    <row r="9" spans="1:7" ht="30" customHeight="1" x14ac:dyDescent="0.5">
      <c r="A9" s="305" t="s">
        <v>1041</v>
      </c>
      <c r="B9" s="306" t="s">
        <v>1042</v>
      </c>
      <c r="C9" s="312" t="s">
        <v>1050</v>
      </c>
      <c r="D9" s="305">
        <v>0</v>
      </c>
      <c r="E9" s="305">
        <v>0</v>
      </c>
      <c r="F9" s="305">
        <v>0</v>
      </c>
      <c r="G9" s="310" t="s">
        <v>1043</v>
      </c>
    </row>
    <row r="10" spans="1:7" ht="30" customHeight="1" x14ac:dyDescent="0.5">
      <c r="A10" s="305" t="s">
        <v>1041</v>
      </c>
      <c r="B10" s="306" t="s">
        <v>1042</v>
      </c>
      <c r="C10" s="311" t="s">
        <v>1017</v>
      </c>
      <c r="D10" s="286">
        <f>GETPIVOTDATA("Somme de Montant",Calcule!$A$104,"Commercialisation","Vente en directe","Type animaux","Agneaux lourds standards")</f>
        <v>0</v>
      </c>
      <c r="E10" s="286">
        <f>GETPIVOTDATA("Somme de Nombre",Calcule!$A$104,"Commercialisation","Vente en directe","Type animaux","Agneaux lourds standards")</f>
        <v>0</v>
      </c>
      <c r="F10" s="286">
        <f>GETPIVOTDATA("Somme de Poids carcasse",Calcule!$A$104,"Commercialisation","Circuit long","Type animaux","Agneaux lourds standards")</f>
        <v>0</v>
      </c>
      <c r="G10" s="310" t="s">
        <v>1043</v>
      </c>
    </row>
    <row r="11" spans="1:7" ht="30" customHeight="1" x14ac:dyDescent="0.5">
      <c r="A11" s="305" t="s">
        <v>1041</v>
      </c>
      <c r="B11" s="306" t="s">
        <v>1042</v>
      </c>
      <c r="C11" s="312" t="s">
        <v>1051</v>
      </c>
      <c r="D11" s="305">
        <f>GETPIVOTDATA("Somme de Montant",Calcule!$A$104,"Commercialisation","Vente en directe","Type animaux","Agneaux lourds bio")</f>
        <v>0</v>
      </c>
      <c r="E11" s="305">
        <f>GETPIVOTDATA("Somme de Nombre",Calcule!$A$104,"Commercialisation","Vente en directe","Type animaux","Agneaux lourds bio")</f>
        <v>0</v>
      </c>
      <c r="F11" s="305">
        <f>GETPIVOTDATA("Somme de Poids carcasse",Calcule!$A$104,"Commercialisation","Vente en directe","Type animaux","Agneaux lourds bio")</f>
        <v>0</v>
      </c>
      <c r="G11" s="310" t="s">
        <v>1043</v>
      </c>
    </row>
    <row r="12" spans="1:7" ht="30" customHeight="1" x14ac:dyDescent="0.5">
      <c r="A12" s="305" t="s">
        <v>1041</v>
      </c>
      <c r="B12" s="306" t="s">
        <v>1042</v>
      </c>
      <c r="C12" s="311" t="s">
        <v>1052</v>
      </c>
      <c r="D12" s="305">
        <f>GETPIVOTDATA("Somme de Montant",Calcule!$A$2,"Type animaux","Agneaux légers")</f>
        <v>0</v>
      </c>
      <c r="E12" s="305">
        <f>GETPIVOTDATA("Somme de Nombre",Calcule!$A$2,"Type animaux","Agneaux légers")</f>
        <v>0</v>
      </c>
      <c r="F12" s="305">
        <f>GETPIVOTDATA("Somme de Poids carcasse",Calcule!$A$2,"Type animaux","Agneaux légers")</f>
        <v>0</v>
      </c>
      <c r="G12" s="310" t="s">
        <v>1043</v>
      </c>
    </row>
    <row r="13" spans="1:7" ht="30" customHeight="1" x14ac:dyDescent="0.5">
      <c r="A13" s="305" t="s">
        <v>1041</v>
      </c>
      <c r="B13" s="306" t="s">
        <v>1042</v>
      </c>
      <c r="C13" s="312" t="s">
        <v>1053</v>
      </c>
      <c r="D13" s="478">
        <v>0</v>
      </c>
      <c r="E13" s="478">
        <v>0</v>
      </c>
      <c r="F13" s="478">
        <v>0</v>
      </c>
      <c r="G13" s="286" t="s">
        <v>1043</v>
      </c>
    </row>
    <row r="14" spans="1:7" ht="30" customHeight="1" x14ac:dyDescent="0.5">
      <c r="A14" s="305" t="s">
        <v>1041</v>
      </c>
      <c r="B14" s="306" t="s">
        <v>1042</v>
      </c>
      <c r="C14" s="311" t="s">
        <v>1054</v>
      </c>
      <c r="D14" s="305">
        <v>0</v>
      </c>
      <c r="E14" s="305">
        <v>0</v>
      </c>
      <c r="F14" s="305">
        <v>0</v>
      </c>
      <c r="G14" s="286" t="s">
        <v>1043</v>
      </c>
    </row>
    <row r="15" spans="1:7" ht="30" customHeight="1" x14ac:dyDescent="0.5">
      <c r="A15" s="305" t="s">
        <v>1041</v>
      </c>
      <c r="B15" s="306" t="s">
        <v>1042</v>
      </c>
      <c r="C15" s="312" t="s">
        <v>1055</v>
      </c>
      <c r="D15" s="305">
        <v>0</v>
      </c>
      <c r="E15" s="305">
        <v>0</v>
      </c>
      <c r="F15" s="305">
        <v>0</v>
      </c>
      <c r="G15" s="286" t="s">
        <v>1043</v>
      </c>
    </row>
    <row r="16" spans="1:7" ht="30" customHeight="1" x14ac:dyDescent="0.5">
      <c r="A16" s="305" t="s">
        <v>1041</v>
      </c>
      <c r="B16" s="306" t="s">
        <v>1042</v>
      </c>
      <c r="C16" s="311" t="s">
        <v>1032</v>
      </c>
      <c r="D16" s="305">
        <v>0</v>
      </c>
      <c r="E16" s="305">
        <v>0</v>
      </c>
      <c r="F16" s="305">
        <v>0</v>
      </c>
      <c r="G16" s="286" t="s">
        <v>1056</v>
      </c>
    </row>
    <row r="17" spans="1:7" ht="30" customHeight="1" x14ac:dyDescent="0.5">
      <c r="A17" s="305" t="s">
        <v>1041</v>
      </c>
      <c r="B17" s="306" t="s">
        <v>1042</v>
      </c>
      <c r="C17" s="312" t="s">
        <v>1057</v>
      </c>
      <c r="D17" s="305">
        <v>0</v>
      </c>
      <c r="E17" s="305">
        <v>0</v>
      </c>
      <c r="F17" s="305">
        <v>0</v>
      </c>
      <c r="G17" s="286" t="s">
        <v>1056</v>
      </c>
    </row>
    <row r="18" spans="1:7" ht="30" customHeight="1" x14ac:dyDescent="0.5">
      <c r="A18" s="305" t="s">
        <v>1041</v>
      </c>
      <c r="B18" s="306" t="s">
        <v>1042</v>
      </c>
      <c r="C18" s="311" t="s">
        <v>1058</v>
      </c>
      <c r="D18" s="305">
        <v>0</v>
      </c>
      <c r="E18" s="305">
        <v>0</v>
      </c>
      <c r="F18" s="305">
        <v>0</v>
      </c>
      <c r="G18" s="286" t="s">
        <v>1056</v>
      </c>
    </row>
    <row r="19" spans="1:7" ht="30" customHeight="1" x14ac:dyDescent="0.5">
      <c r="A19" s="305" t="s">
        <v>1041</v>
      </c>
      <c r="B19" s="306" t="s">
        <v>1042</v>
      </c>
      <c r="C19" s="312" t="s">
        <v>1059</v>
      </c>
      <c r="D19" s="286">
        <f>GETPIVOTDATA("Somme de Montant",Calcule!$A$2,"Type animaux","Agneaux maigres")</f>
        <v>0</v>
      </c>
      <c r="E19" s="286">
        <f>GETPIVOTDATA("Somme de Nombre",Calcule!$A$2,"Type animaux","Agneaux maigres")</f>
        <v>0</v>
      </c>
      <c r="F19" s="305">
        <f>GETPIVOTDATA("Somme de Poids carcasse",Calcule!$A$2,"Type animaux","Agneaux maigres")</f>
        <v>0</v>
      </c>
      <c r="G19" s="286" t="s">
        <v>1056</v>
      </c>
    </row>
    <row r="20" spans="1:7" ht="30" customHeight="1" x14ac:dyDescent="0.5">
      <c r="A20" s="305" t="s">
        <v>1041</v>
      </c>
      <c r="B20" s="306" t="s">
        <v>1042</v>
      </c>
      <c r="C20" s="311" t="s">
        <v>1060</v>
      </c>
      <c r="D20" s="305">
        <f>GETPIVOTDATA("Somme de Montant",Calcule!$A$2,"Type animaux","Tardons finis")+GETPIVOTDATA("Somme de Montant",Calcule!$A$2,"Type animaux","Tardons maigres")</f>
        <v>0</v>
      </c>
      <c r="E20" s="305">
        <f>GETPIVOTDATA("Somme de Nombre",Calcule!$A$2,"Type animaux","Tardons maigres")+GETPIVOTDATA("Somme de Nombre",Calcule!$A$2,"Type animaux","Tardons finis")</f>
        <v>0</v>
      </c>
      <c r="F20" s="305">
        <v>0</v>
      </c>
      <c r="G20" s="286" t="s">
        <v>1056</v>
      </c>
    </row>
    <row r="21" spans="1:7" ht="30" customHeight="1" x14ac:dyDescent="0.5">
      <c r="A21" s="305" t="s">
        <v>1041</v>
      </c>
      <c r="B21" s="306" t="s">
        <v>1042</v>
      </c>
      <c r="C21" s="312" t="s">
        <v>1061</v>
      </c>
      <c r="D21" s="286">
        <v>0</v>
      </c>
      <c r="E21" s="286">
        <v>0</v>
      </c>
      <c r="F21" s="305">
        <v>0</v>
      </c>
      <c r="G21" s="286" t="s">
        <v>1056</v>
      </c>
    </row>
    <row r="22" spans="1:7" ht="30" customHeight="1" x14ac:dyDescent="0.5">
      <c r="A22" s="305" t="s">
        <v>1041</v>
      </c>
      <c r="B22" s="306" t="s">
        <v>1042</v>
      </c>
      <c r="C22" s="311" t="s">
        <v>1062</v>
      </c>
      <c r="D22" s="305">
        <v>0</v>
      </c>
      <c r="E22" s="305">
        <v>0</v>
      </c>
      <c r="F22" s="305">
        <v>0</v>
      </c>
      <c r="G22" s="286" t="s">
        <v>1056</v>
      </c>
    </row>
    <row r="23" spans="1:7" ht="30" customHeight="1" x14ac:dyDescent="0.5">
      <c r="A23" s="305" t="s">
        <v>1041</v>
      </c>
      <c r="B23" s="306" t="s">
        <v>1042</v>
      </c>
      <c r="C23" s="312" t="s">
        <v>1063</v>
      </c>
      <c r="D23" s="305">
        <v>0</v>
      </c>
      <c r="E23" s="305">
        <v>0</v>
      </c>
      <c r="F23" s="305">
        <v>0</v>
      </c>
      <c r="G23" s="286" t="s">
        <v>1056</v>
      </c>
    </row>
    <row r="24" spans="1:7" ht="30" customHeight="1" x14ac:dyDescent="0.5">
      <c r="A24" s="305" t="s">
        <v>1041</v>
      </c>
      <c r="B24" s="306" t="s">
        <v>1042</v>
      </c>
      <c r="C24" s="311" t="s">
        <v>1064</v>
      </c>
      <c r="D24" s="305">
        <v>0</v>
      </c>
      <c r="E24" s="305">
        <v>0</v>
      </c>
      <c r="F24" s="305">
        <v>0</v>
      </c>
      <c r="G24" s="286" t="s">
        <v>1056</v>
      </c>
    </row>
    <row r="25" spans="1:7" ht="30" customHeight="1" x14ac:dyDescent="0.5">
      <c r="A25" s="305" t="s">
        <v>1041</v>
      </c>
      <c r="B25" s="306" t="s">
        <v>1042</v>
      </c>
      <c r="C25" s="312" t="s">
        <v>1065</v>
      </c>
      <c r="D25" s="305">
        <v>0</v>
      </c>
      <c r="E25" s="305">
        <v>0</v>
      </c>
      <c r="F25" s="305">
        <v>0</v>
      </c>
      <c r="G25" s="286" t="s">
        <v>1056</v>
      </c>
    </row>
    <row r="26" spans="1:7" ht="30" customHeight="1" x14ac:dyDescent="0.5">
      <c r="A26" s="305" t="s">
        <v>1041</v>
      </c>
      <c r="B26" s="306" t="s">
        <v>1042</v>
      </c>
      <c r="C26" s="311" t="s">
        <v>1066</v>
      </c>
      <c r="D26" s="305">
        <v>0</v>
      </c>
      <c r="E26" s="305">
        <v>0</v>
      </c>
      <c r="F26" s="305">
        <v>0</v>
      </c>
      <c r="G26" s="286" t="s">
        <v>1056</v>
      </c>
    </row>
    <row r="27" spans="1:7" ht="30" customHeight="1" x14ac:dyDescent="0.5">
      <c r="A27" s="305" t="s">
        <v>1041</v>
      </c>
      <c r="B27" s="306" t="s">
        <v>1042</v>
      </c>
      <c r="C27" s="312" t="s">
        <v>1066</v>
      </c>
      <c r="D27" s="305">
        <v>0</v>
      </c>
      <c r="E27" s="305">
        <v>0</v>
      </c>
      <c r="F27" s="305">
        <v>0</v>
      </c>
      <c r="G27" s="286" t="s">
        <v>1056</v>
      </c>
    </row>
    <row r="28" spans="1:7" ht="30" customHeight="1" x14ac:dyDescent="0.5">
      <c r="A28" s="305" t="s">
        <v>1041</v>
      </c>
      <c r="B28" s="306" t="s">
        <v>1042</v>
      </c>
      <c r="C28" s="311" t="s">
        <v>1066</v>
      </c>
      <c r="D28" s="305">
        <v>0</v>
      </c>
      <c r="E28" s="305">
        <v>0</v>
      </c>
      <c r="F28" s="305">
        <v>0</v>
      </c>
      <c r="G28" s="286" t="s">
        <v>1056</v>
      </c>
    </row>
    <row r="29" spans="1:7" ht="30" customHeight="1" x14ac:dyDescent="0.5">
      <c r="A29" s="305" t="s">
        <v>1041</v>
      </c>
      <c r="B29" s="306" t="s">
        <v>1042</v>
      </c>
      <c r="C29" s="312" t="s">
        <v>1067</v>
      </c>
      <c r="D29" s="305">
        <v>0</v>
      </c>
      <c r="E29" s="305">
        <v>0</v>
      </c>
      <c r="F29" s="305">
        <v>0</v>
      </c>
      <c r="G29" s="286" t="s">
        <v>1056</v>
      </c>
    </row>
    <row r="30" spans="1:7" ht="30" customHeight="1" x14ac:dyDescent="0.5">
      <c r="A30" s="305" t="s">
        <v>1041</v>
      </c>
      <c r="B30" s="306" t="s">
        <v>1042</v>
      </c>
      <c r="C30" s="311" t="s">
        <v>1068</v>
      </c>
      <c r="D30" s="305">
        <v>0</v>
      </c>
      <c r="E30" s="305">
        <v>0</v>
      </c>
      <c r="F30" s="305">
        <v>0</v>
      </c>
      <c r="G30" s="286" t="s">
        <v>1056</v>
      </c>
    </row>
    <row r="31" spans="1:7" ht="30" customHeight="1" x14ac:dyDescent="0.5">
      <c r="A31" s="305" t="s">
        <v>1041</v>
      </c>
      <c r="B31" s="306" t="s">
        <v>1042</v>
      </c>
      <c r="C31" s="312" t="s">
        <v>1069</v>
      </c>
      <c r="D31" s="286">
        <f>GETPIVOTDATA("Somme de Montant",Calcule!$A$2,"Type animaux","Jeunes males reproduction")</f>
        <v>0</v>
      </c>
      <c r="E31" s="286">
        <f>GETPIVOTDATA("Somme de Nombre",Calcule!$A$2,"Type animaux","Jeunes males reproduction")</f>
        <v>0</v>
      </c>
      <c r="F31" s="305">
        <v>0</v>
      </c>
      <c r="G31" s="286" t="s">
        <v>1056</v>
      </c>
    </row>
    <row r="32" spans="1:7" ht="30" customHeight="1" x14ac:dyDescent="0.5">
      <c r="A32" s="305" t="s">
        <v>1041</v>
      </c>
      <c r="B32" s="306" t="s">
        <v>1042</v>
      </c>
      <c r="C32" s="311" t="s">
        <v>1070</v>
      </c>
      <c r="D32" s="286">
        <f>GETPIVOTDATA("Somme de Montant",Calcule!$A$2,"Type animaux","Jeunes femelles reproduction")</f>
        <v>0</v>
      </c>
      <c r="E32" s="286">
        <f>GETPIVOTDATA("Somme de Nombre",Calcule!$A$2,"Type animaux","Jeunes femelles reproduction")</f>
        <v>0</v>
      </c>
      <c r="F32" s="305">
        <v>0</v>
      </c>
      <c r="G32" s="286" t="s">
        <v>1056</v>
      </c>
    </row>
    <row r="33" spans="1:7" ht="30" customHeight="1" x14ac:dyDescent="0.5">
      <c r="A33" s="305" t="s">
        <v>1041</v>
      </c>
      <c r="B33" s="306" t="s">
        <v>1042</v>
      </c>
      <c r="C33" s="312" t="s">
        <v>1071</v>
      </c>
      <c r="D33" s="305">
        <f>GETPIVOTDATA("Somme de Montant",Calcule!$A$2,"Type animaux","Brebis reproduction")</f>
        <v>0</v>
      </c>
      <c r="E33" s="305">
        <f>GETPIVOTDATA("Somme de Nombre",Calcule!$A$2,"Type animaux","Brebis reproduction")</f>
        <v>0</v>
      </c>
      <c r="F33" s="305">
        <v>0</v>
      </c>
      <c r="G33" s="286" t="s">
        <v>1056</v>
      </c>
    </row>
    <row r="34" spans="1:7" ht="30" customHeight="1" x14ac:dyDescent="0.5">
      <c r="A34" s="305" t="s">
        <v>1041</v>
      </c>
      <c r="B34" s="306" t="s">
        <v>1042</v>
      </c>
      <c r="C34" s="311" t="s">
        <v>1072</v>
      </c>
      <c r="D34" s="305">
        <f>GETPIVOTDATA("Somme de Montant",Calcule!$A$2,"Type animaux","Béliers reproduction")</f>
        <v>0</v>
      </c>
      <c r="E34" s="305">
        <f>GETPIVOTDATA("Somme de Nombre",Calcule!$A$2,"Type animaux","Béliers reproduction")</f>
        <v>0</v>
      </c>
      <c r="F34" s="305">
        <v>0</v>
      </c>
      <c r="G34" s="286" t="s">
        <v>1056</v>
      </c>
    </row>
    <row r="35" spans="1:7" ht="30" customHeight="1" x14ac:dyDescent="0.5">
      <c r="A35" s="305" t="s">
        <v>1041</v>
      </c>
      <c r="B35" s="306" t="s">
        <v>1042</v>
      </c>
      <c r="C35" s="312" t="s">
        <v>1073</v>
      </c>
      <c r="D35" s="305">
        <v>0</v>
      </c>
      <c r="E35" s="305">
        <v>0</v>
      </c>
      <c r="F35" s="305">
        <v>0</v>
      </c>
      <c r="G35" s="286" t="s">
        <v>1056</v>
      </c>
    </row>
    <row r="36" spans="1:7" ht="30" customHeight="1" x14ac:dyDescent="0.5">
      <c r="A36" s="305" t="s">
        <v>1041</v>
      </c>
      <c r="B36" s="306" t="s">
        <v>1042</v>
      </c>
      <c r="C36" s="312" t="s">
        <v>1034</v>
      </c>
      <c r="D36" s="305">
        <f>GETPIVOTDATA("Somme de Montant",Calcule!$A$2,"Type animaux","Béliers réformés")</f>
        <v>0</v>
      </c>
      <c r="E36" s="305">
        <f>GETPIVOTDATA("Somme de Nombre",Calcule!$A$2,"Type animaux","Béliers réformés")</f>
        <v>0</v>
      </c>
      <c r="F36" s="305">
        <v>0</v>
      </c>
      <c r="G36" s="286" t="s">
        <v>1056</v>
      </c>
    </row>
    <row r="37" spans="1:7" ht="30" customHeight="1" x14ac:dyDescent="0.5">
      <c r="A37" s="305" t="s">
        <v>1041</v>
      </c>
      <c r="B37" s="306" t="s">
        <v>1042</v>
      </c>
      <c r="C37" s="311" t="s">
        <v>1074</v>
      </c>
      <c r="D37" s="305">
        <v>0</v>
      </c>
      <c r="E37" s="305">
        <v>0</v>
      </c>
      <c r="F37" s="305">
        <v>0</v>
      </c>
      <c r="G37" s="286" t="s">
        <v>1056</v>
      </c>
    </row>
    <row r="38" spans="1:7" ht="30" customHeight="1" x14ac:dyDescent="0.5">
      <c r="A38" s="305" t="s">
        <v>1041</v>
      </c>
      <c r="B38" s="306" t="s">
        <v>1042</v>
      </c>
      <c r="C38" s="312" t="s">
        <v>1075</v>
      </c>
      <c r="D38" s="305">
        <v>0</v>
      </c>
      <c r="E38" s="305">
        <v>0</v>
      </c>
      <c r="F38" s="305">
        <v>0</v>
      </c>
      <c r="G38" s="286" t="s">
        <v>1056</v>
      </c>
    </row>
    <row r="39" spans="1:7" ht="30" customHeight="1" x14ac:dyDescent="0.5">
      <c r="A39" s="305" t="s">
        <v>1041</v>
      </c>
      <c r="B39" s="306" t="s">
        <v>1042</v>
      </c>
      <c r="C39" s="311" t="s">
        <v>1076</v>
      </c>
      <c r="D39" s="305">
        <v>0</v>
      </c>
      <c r="E39" s="305">
        <v>0</v>
      </c>
      <c r="F39" s="305">
        <v>0</v>
      </c>
      <c r="G39" s="286" t="s">
        <v>1056</v>
      </c>
    </row>
    <row r="40" spans="1:7" ht="30" customHeight="1" x14ac:dyDescent="0.5">
      <c r="A40" s="305" t="s">
        <v>1041</v>
      </c>
      <c r="B40" s="306" t="s">
        <v>1042</v>
      </c>
      <c r="C40" s="312" t="s">
        <v>1077</v>
      </c>
      <c r="D40" s="305">
        <v>0</v>
      </c>
      <c r="E40" s="305">
        <v>0</v>
      </c>
      <c r="F40" s="305">
        <v>0</v>
      </c>
      <c r="G40" s="286" t="s">
        <v>1056</v>
      </c>
    </row>
    <row r="41" spans="1:7" ht="30" customHeight="1" x14ac:dyDescent="0.5">
      <c r="A41" s="305" t="s">
        <v>1041</v>
      </c>
      <c r="B41" s="306" t="s">
        <v>1042</v>
      </c>
      <c r="C41" s="311" t="s">
        <v>1015</v>
      </c>
      <c r="D41" s="286">
        <f>GETPIVOTDATA("Somme de Montant",Calcule!$A$104,"Commercialisation","Circuit long","Type animaux","Brebis réformés")</f>
        <v>0</v>
      </c>
      <c r="E41" s="286">
        <f>GETPIVOTDATA("Somme de Nombre",Calcule!$A$104,"Commercialisation","Circuit long","Type animaux","Béliers réformés")</f>
        <v>0</v>
      </c>
      <c r="F41" s="286">
        <f>GETPIVOTDATA("Somme de Poids carcasse",Calcule!$A$104,"Commercialisation","Circuit long","Type animaux","Brebis réformés")</f>
        <v>0</v>
      </c>
      <c r="G41" s="286" t="s">
        <v>1056</v>
      </c>
    </row>
    <row r="42" spans="1:7" ht="30" customHeight="1" x14ac:dyDescent="0.5">
      <c r="A42" s="305" t="s">
        <v>1041</v>
      </c>
      <c r="B42" s="306" t="s">
        <v>1042</v>
      </c>
      <c r="C42" s="312" t="s">
        <v>1078</v>
      </c>
      <c r="D42" s="305">
        <v>0</v>
      </c>
      <c r="E42" s="305">
        <v>0</v>
      </c>
      <c r="F42" s="305">
        <v>0</v>
      </c>
      <c r="G42" s="286" t="s">
        <v>1056</v>
      </c>
    </row>
    <row r="43" spans="1:7" ht="30" customHeight="1" x14ac:dyDescent="0.5">
      <c r="A43" s="305" t="s">
        <v>1041</v>
      </c>
      <c r="B43" s="306" t="s">
        <v>1042</v>
      </c>
      <c r="C43" s="311" t="s">
        <v>1079</v>
      </c>
      <c r="D43" s="305">
        <f>GETPIVOTDATA("Somme de Montant",Calcule!$A$104,"Commercialisation","Vente en directe","Type animaux","Brebis réformés")</f>
        <v>0</v>
      </c>
      <c r="E43" s="305">
        <f>GETPIVOTDATA("Somme de Nombre",Calcule!$A$104,"Commercialisation","Vente en directe","Type animaux","Brebis réformés")</f>
        <v>0</v>
      </c>
      <c r="F43" s="305">
        <f>GETPIVOTDATA("Somme de Poids carcasse",Calcule!$A$104,"Commercialisation","Vente en directe","Type animaux","Brebis réformés")</f>
        <v>0</v>
      </c>
      <c r="G43" s="286" t="s">
        <v>1056</v>
      </c>
    </row>
    <row r="44" spans="1:7" ht="30" customHeight="1" x14ac:dyDescent="0.5">
      <c r="A44" s="305" t="s">
        <v>1041</v>
      </c>
      <c r="B44" s="306" t="s">
        <v>1042</v>
      </c>
      <c r="C44" s="312" t="s">
        <v>1080</v>
      </c>
      <c r="D44" s="305">
        <v>0</v>
      </c>
      <c r="E44" s="305">
        <v>0</v>
      </c>
      <c r="F44" s="305">
        <v>0</v>
      </c>
      <c r="G44" s="286" t="s">
        <v>1056</v>
      </c>
    </row>
    <row r="45" spans="1:7" ht="30" customHeight="1" x14ac:dyDescent="0.5">
      <c r="A45" s="305" t="s">
        <v>1041</v>
      </c>
      <c r="B45" s="306" t="s">
        <v>1042</v>
      </c>
      <c r="C45" s="311" t="s">
        <v>1081</v>
      </c>
      <c r="D45" s="305">
        <v>0</v>
      </c>
      <c r="E45" s="305">
        <v>0</v>
      </c>
      <c r="F45" s="305">
        <v>0</v>
      </c>
      <c r="G45" s="286" t="s">
        <v>1056</v>
      </c>
    </row>
    <row r="46" spans="1:7" ht="30" customHeight="1" x14ac:dyDescent="0.5">
      <c r="A46" s="305" t="s">
        <v>1041</v>
      </c>
      <c r="B46" s="306" t="s">
        <v>1042</v>
      </c>
      <c r="C46" s="312" t="s">
        <v>1082</v>
      </c>
      <c r="D46" s="305">
        <v>0</v>
      </c>
      <c r="E46" s="305">
        <v>0</v>
      </c>
      <c r="F46" s="305">
        <v>0</v>
      </c>
      <c r="G46" s="286" t="s">
        <v>1056</v>
      </c>
    </row>
    <row r="47" spans="1:7" ht="30" customHeight="1" x14ac:dyDescent="0.5">
      <c r="A47" s="292" t="s">
        <v>1035</v>
      </c>
      <c r="B47" s="292" t="s">
        <v>109</v>
      </c>
      <c r="C47" s="292" t="s">
        <v>1083</v>
      </c>
      <c r="D47" s="292" t="s">
        <v>747</v>
      </c>
      <c r="E47" s="292" t="s">
        <v>1037</v>
      </c>
      <c r="F47" s="292" t="s">
        <v>748</v>
      </c>
      <c r="G47" s="292" t="s">
        <v>1084</v>
      </c>
    </row>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C1DAB-719F-4AFD-8D8F-3887401F15C1}">
  <dimension ref="A1:L12"/>
  <sheetViews>
    <sheetView workbookViewId="0">
      <selection activeCell="K17" sqref="K17"/>
    </sheetView>
  </sheetViews>
  <sheetFormatPr baseColWidth="10" defaultColWidth="11" defaultRowHeight="13.2" x14ac:dyDescent="0.5"/>
  <cols>
    <col min="1" max="2" width="11.44140625" style="286"/>
    <col min="3" max="3" width="13.109375" style="286" bestFit="1" customWidth="1"/>
    <col min="4" max="4" width="10.88671875" style="314" bestFit="1" customWidth="1"/>
    <col min="5" max="5" width="11.44140625" style="314" customWidth="1"/>
    <col min="6" max="258" width="11.44140625" style="286"/>
    <col min="259" max="259" width="13.109375" style="286" bestFit="1" customWidth="1"/>
    <col min="260" max="260" width="10.88671875" style="286" bestFit="1" customWidth="1"/>
    <col min="261" max="261" width="11.44140625" style="286" customWidth="1"/>
    <col min="262" max="514" width="11.44140625" style="286"/>
    <col min="515" max="515" width="13.109375" style="286" bestFit="1" customWidth="1"/>
    <col min="516" max="516" width="10.88671875" style="286" bestFit="1" customWidth="1"/>
    <col min="517" max="517" width="11.44140625" style="286" customWidth="1"/>
    <col min="518" max="770" width="11.44140625" style="286"/>
    <col min="771" max="771" width="13.109375" style="286" bestFit="1" customWidth="1"/>
    <col min="772" max="772" width="10.88671875" style="286" bestFit="1" customWidth="1"/>
    <col min="773" max="773" width="11.44140625" style="286" customWidth="1"/>
    <col min="774" max="1026" width="11.44140625" style="286"/>
    <col min="1027" max="1027" width="13.109375" style="286" bestFit="1" customWidth="1"/>
    <col min="1028" max="1028" width="10.88671875" style="286" bestFit="1" customWidth="1"/>
    <col min="1029" max="1029" width="11.44140625" style="286" customWidth="1"/>
    <col min="1030" max="1282" width="11.44140625" style="286"/>
    <col min="1283" max="1283" width="13.109375" style="286" bestFit="1" customWidth="1"/>
    <col min="1284" max="1284" width="10.88671875" style="286" bestFit="1" customWidth="1"/>
    <col min="1285" max="1285" width="11.44140625" style="286" customWidth="1"/>
    <col min="1286" max="1538" width="11.44140625" style="286"/>
    <col min="1539" max="1539" width="13.109375" style="286" bestFit="1" customWidth="1"/>
    <col min="1540" max="1540" width="10.88671875" style="286" bestFit="1" customWidth="1"/>
    <col min="1541" max="1541" width="11.44140625" style="286" customWidth="1"/>
    <col min="1542" max="1794" width="11.44140625" style="286"/>
    <col min="1795" max="1795" width="13.109375" style="286" bestFit="1" customWidth="1"/>
    <col min="1796" max="1796" width="10.88671875" style="286" bestFit="1" customWidth="1"/>
    <col min="1797" max="1797" width="11.44140625" style="286" customWidth="1"/>
    <col min="1798" max="2050" width="11.44140625" style="286"/>
    <col min="2051" max="2051" width="13.109375" style="286" bestFit="1" customWidth="1"/>
    <col min="2052" max="2052" width="10.88671875" style="286" bestFit="1" customWidth="1"/>
    <col min="2053" max="2053" width="11.44140625" style="286" customWidth="1"/>
    <col min="2054" max="2306" width="11.44140625" style="286"/>
    <col min="2307" max="2307" width="13.109375" style="286" bestFit="1" customWidth="1"/>
    <col min="2308" max="2308" width="10.88671875" style="286" bestFit="1" customWidth="1"/>
    <col min="2309" max="2309" width="11.44140625" style="286" customWidth="1"/>
    <col min="2310" max="2562" width="11.44140625" style="286"/>
    <col min="2563" max="2563" width="13.109375" style="286" bestFit="1" customWidth="1"/>
    <col min="2564" max="2564" width="10.88671875" style="286" bestFit="1" customWidth="1"/>
    <col min="2565" max="2565" width="11.44140625" style="286" customWidth="1"/>
    <col min="2566" max="2818" width="11.44140625" style="286"/>
    <col min="2819" max="2819" width="13.109375" style="286" bestFit="1" customWidth="1"/>
    <col min="2820" max="2820" width="10.88671875" style="286" bestFit="1" customWidth="1"/>
    <col min="2821" max="2821" width="11.44140625" style="286" customWidth="1"/>
    <col min="2822" max="3074" width="11.44140625" style="286"/>
    <col min="3075" max="3075" width="13.109375" style="286" bestFit="1" customWidth="1"/>
    <col min="3076" max="3076" width="10.88671875" style="286" bestFit="1" customWidth="1"/>
    <col min="3077" max="3077" width="11.44140625" style="286" customWidth="1"/>
    <col min="3078" max="3330" width="11.44140625" style="286"/>
    <col min="3331" max="3331" width="13.109375" style="286" bestFit="1" customWidth="1"/>
    <col min="3332" max="3332" width="10.88671875" style="286" bestFit="1" customWidth="1"/>
    <col min="3333" max="3333" width="11.44140625" style="286" customWidth="1"/>
    <col min="3334" max="3586" width="11.44140625" style="286"/>
    <col min="3587" max="3587" width="13.109375" style="286" bestFit="1" customWidth="1"/>
    <col min="3588" max="3588" width="10.88671875" style="286" bestFit="1" customWidth="1"/>
    <col min="3589" max="3589" width="11.44140625" style="286" customWidth="1"/>
    <col min="3590" max="3842" width="11.44140625" style="286"/>
    <col min="3843" max="3843" width="13.109375" style="286" bestFit="1" customWidth="1"/>
    <col min="3844" max="3844" width="10.88671875" style="286" bestFit="1" customWidth="1"/>
    <col min="3845" max="3845" width="11.44140625" style="286" customWidth="1"/>
    <col min="3846" max="4098" width="11.44140625" style="286"/>
    <col min="4099" max="4099" width="13.109375" style="286" bestFit="1" customWidth="1"/>
    <col min="4100" max="4100" width="10.88671875" style="286" bestFit="1" customWidth="1"/>
    <col min="4101" max="4101" width="11.44140625" style="286" customWidth="1"/>
    <col min="4102" max="4354" width="11.44140625" style="286"/>
    <col min="4355" max="4355" width="13.109375" style="286" bestFit="1" customWidth="1"/>
    <col min="4356" max="4356" width="10.88671875" style="286" bestFit="1" customWidth="1"/>
    <col min="4357" max="4357" width="11.44140625" style="286" customWidth="1"/>
    <col min="4358" max="4610" width="11.44140625" style="286"/>
    <col min="4611" max="4611" width="13.109375" style="286" bestFit="1" customWidth="1"/>
    <col min="4612" max="4612" width="10.88671875" style="286" bestFit="1" customWidth="1"/>
    <col min="4613" max="4613" width="11.44140625" style="286" customWidth="1"/>
    <col min="4614" max="4866" width="11.44140625" style="286"/>
    <col min="4867" max="4867" width="13.109375" style="286" bestFit="1" customWidth="1"/>
    <col min="4868" max="4868" width="10.88671875" style="286" bestFit="1" customWidth="1"/>
    <col min="4869" max="4869" width="11.44140625" style="286" customWidth="1"/>
    <col min="4870" max="5122" width="11.44140625" style="286"/>
    <col min="5123" max="5123" width="13.109375" style="286" bestFit="1" customWidth="1"/>
    <col min="5124" max="5124" width="10.88671875" style="286" bestFit="1" customWidth="1"/>
    <col min="5125" max="5125" width="11.44140625" style="286" customWidth="1"/>
    <col min="5126" max="5378" width="11.44140625" style="286"/>
    <col min="5379" max="5379" width="13.109375" style="286" bestFit="1" customWidth="1"/>
    <col min="5380" max="5380" width="10.88671875" style="286" bestFit="1" customWidth="1"/>
    <col min="5381" max="5381" width="11.44140625" style="286" customWidth="1"/>
    <col min="5382" max="5634" width="11.44140625" style="286"/>
    <col min="5635" max="5635" width="13.109375" style="286" bestFit="1" customWidth="1"/>
    <col min="5636" max="5636" width="10.88671875" style="286" bestFit="1" customWidth="1"/>
    <col min="5637" max="5637" width="11.44140625" style="286" customWidth="1"/>
    <col min="5638" max="5890" width="11.44140625" style="286"/>
    <col min="5891" max="5891" width="13.109375" style="286" bestFit="1" customWidth="1"/>
    <col min="5892" max="5892" width="10.88671875" style="286" bestFit="1" customWidth="1"/>
    <col min="5893" max="5893" width="11.44140625" style="286" customWidth="1"/>
    <col min="5894" max="6146" width="11.44140625" style="286"/>
    <col min="6147" max="6147" width="13.109375" style="286" bestFit="1" customWidth="1"/>
    <col min="6148" max="6148" width="10.88671875" style="286" bestFit="1" customWidth="1"/>
    <col min="6149" max="6149" width="11.44140625" style="286" customWidth="1"/>
    <col min="6150" max="6402" width="11.44140625" style="286"/>
    <col min="6403" max="6403" width="13.109375" style="286" bestFit="1" customWidth="1"/>
    <col min="6404" max="6404" width="10.88671875" style="286" bestFit="1" customWidth="1"/>
    <col min="6405" max="6405" width="11.44140625" style="286" customWidth="1"/>
    <col min="6406" max="6658" width="11.44140625" style="286"/>
    <col min="6659" max="6659" width="13.109375" style="286" bestFit="1" customWidth="1"/>
    <col min="6660" max="6660" width="10.88671875" style="286" bestFit="1" customWidth="1"/>
    <col min="6661" max="6661" width="11.44140625" style="286" customWidth="1"/>
    <col min="6662" max="6914" width="11.44140625" style="286"/>
    <col min="6915" max="6915" width="13.109375" style="286" bestFit="1" customWidth="1"/>
    <col min="6916" max="6916" width="10.88671875" style="286" bestFit="1" customWidth="1"/>
    <col min="6917" max="6917" width="11.44140625" style="286" customWidth="1"/>
    <col min="6918" max="7170" width="11.44140625" style="286"/>
    <col min="7171" max="7171" width="13.109375" style="286" bestFit="1" customWidth="1"/>
    <col min="7172" max="7172" width="10.88671875" style="286" bestFit="1" customWidth="1"/>
    <col min="7173" max="7173" width="11.44140625" style="286" customWidth="1"/>
    <col min="7174" max="7426" width="11.44140625" style="286"/>
    <col min="7427" max="7427" width="13.109375" style="286" bestFit="1" customWidth="1"/>
    <col min="7428" max="7428" width="10.88671875" style="286" bestFit="1" customWidth="1"/>
    <col min="7429" max="7429" width="11.44140625" style="286" customWidth="1"/>
    <col min="7430" max="7682" width="11.44140625" style="286"/>
    <col min="7683" max="7683" width="13.109375" style="286" bestFit="1" customWidth="1"/>
    <col min="7684" max="7684" width="10.88671875" style="286" bestFit="1" customWidth="1"/>
    <col min="7685" max="7685" width="11.44140625" style="286" customWidth="1"/>
    <col min="7686" max="7938" width="11.44140625" style="286"/>
    <col min="7939" max="7939" width="13.109375" style="286" bestFit="1" customWidth="1"/>
    <col min="7940" max="7940" width="10.88671875" style="286" bestFit="1" customWidth="1"/>
    <col min="7941" max="7941" width="11.44140625" style="286" customWidth="1"/>
    <col min="7942" max="8194" width="11.44140625" style="286"/>
    <col min="8195" max="8195" width="13.109375" style="286" bestFit="1" customWidth="1"/>
    <col min="8196" max="8196" width="10.88671875" style="286" bestFit="1" customWidth="1"/>
    <col min="8197" max="8197" width="11.44140625" style="286" customWidth="1"/>
    <col min="8198" max="8450" width="11.44140625" style="286"/>
    <col min="8451" max="8451" width="13.109375" style="286" bestFit="1" customWidth="1"/>
    <col min="8452" max="8452" width="10.88671875" style="286" bestFit="1" customWidth="1"/>
    <col min="8453" max="8453" width="11.44140625" style="286" customWidth="1"/>
    <col min="8454" max="8706" width="11.44140625" style="286"/>
    <col min="8707" max="8707" width="13.109375" style="286" bestFit="1" customWidth="1"/>
    <col min="8708" max="8708" width="10.88671875" style="286" bestFit="1" customWidth="1"/>
    <col min="8709" max="8709" width="11.44140625" style="286" customWidth="1"/>
    <col min="8710" max="8962" width="11.44140625" style="286"/>
    <col min="8963" max="8963" width="13.109375" style="286" bestFit="1" customWidth="1"/>
    <col min="8964" max="8964" width="10.88671875" style="286" bestFit="1" customWidth="1"/>
    <col min="8965" max="8965" width="11.44140625" style="286" customWidth="1"/>
    <col min="8966" max="9218" width="11.44140625" style="286"/>
    <col min="9219" max="9219" width="13.109375" style="286" bestFit="1" customWidth="1"/>
    <col min="9220" max="9220" width="10.88671875" style="286" bestFit="1" customWidth="1"/>
    <col min="9221" max="9221" width="11.44140625" style="286" customWidth="1"/>
    <col min="9222" max="9474" width="11.44140625" style="286"/>
    <col min="9475" max="9475" width="13.109375" style="286" bestFit="1" customWidth="1"/>
    <col min="9476" max="9476" width="10.88671875" style="286" bestFit="1" customWidth="1"/>
    <col min="9477" max="9477" width="11.44140625" style="286" customWidth="1"/>
    <col min="9478" max="9730" width="11.44140625" style="286"/>
    <col min="9731" max="9731" width="13.109375" style="286" bestFit="1" customWidth="1"/>
    <col min="9732" max="9732" width="10.88671875" style="286" bestFit="1" customWidth="1"/>
    <col min="9733" max="9733" width="11.44140625" style="286" customWidth="1"/>
    <col min="9734" max="9986" width="11.44140625" style="286"/>
    <col min="9987" max="9987" width="13.109375" style="286" bestFit="1" customWidth="1"/>
    <col min="9988" max="9988" width="10.88671875" style="286" bestFit="1" customWidth="1"/>
    <col min="9989" max="9989" width="11.44140625" style="286" customWidth="1"/>
    <col min="9990" max="10242" width="11.44140625" style="286"/>
    <col min="10243" max="10243" width="13.109375" style="286" bestFit="1" customWidth="1"/>
    <col min="10244" max="10244" width="10.88671875" style="286" bestFit="1" customWidth="1"/>
    <col min="10245" max="10245" width="11.44140625" style="286" customWidth="1"/>
    <col min="10246" max="10498" width="11.44140625" style="286"/>
    <col min="10499" max="10499" width="13.109375" style="286" bestFit="1" customWidth="1"/>
    <col min="10500" max="10500" width="10.88671875" style="286" bestFit="1" customWidth="1"/>
    <col min="10501" max="10501" width="11.44140625" style="286" customWidth="1"/>
    <col min="10502" max="10754" width="11.44140625" style="286"/>
    <col min="10755" max="10755" width="13.109375" style="286" bestFit="1" customWidth="1"/>
    <col min="10756" max="10756" width="10.88671875" style="286" bestFit="1" customWidth="1"/>
    <col min="10757" max="10757" width="11.44140625" style="286" customWidth="1"/>
    <col min="10758" max="11010" width="11.44140625" style="286"/>
    <col min="11011" max="11011" width="13.109375" style="286" bestFit="1" customWidth="1"/>
    <col min="11012" max="11012" width="10.88671875" style="286" bestFit="1" customWidth="1"/>
    <col min="11013" max="11013" width="11.44140625" style="286" customWidth="1"/>
    <col min="11014" max="11266" width="11.44140625" style="286"/>
    <col min="11267" max="11267" width="13.109375" style="286" bestFit="1" customWidth="1"/>
    <col min="11268" max="11268" width="10.88671875" style="286" bestFit="1" customWidth="1"/>
    <col min="11269" max="11269" width="11.44140625" style="286" customWidth="1"/>
    <col min="11270" max="11522" width="11.44140625" style="286"/>
    <col min="11523" max="11523" width="13.109375" style="286" bestFit="1" customWidth="1"/>
    <col min="11524" max="11524" width="10.88671875" style="286" bestFit="1" customWidth="1"/>
    <col min="11525" max="11525" width="11.44140625" style="286" customWidth="1"/>
    <col min="11526" max="11778" width="11.44140625" style="286"/>
    <col min="11779" max="11779" width="13.109375" style="286" bestFit="1" customWidth="1"/>
    <col min="11780" max="11780" width="10.88671875" style="286" bestFit="1" customWidth="1"/>
    <col min="11781" max="11781" width="11.44140625" style="286" customWidth="1"/>
    <col min="11782" max="12034" width="11.44140625" style="286"/>
    <col min="12035" max="12035" width="13.109375" style="286" bestFit="1" customWidth="1"/>
    <col min="12036" max="12036" width="10.88671875" style="286" bestFit="1" customWidth="1"/>
    <col min="12037" max="12037" width="11.44140625" style="286" customWidth="1"/>
    <col min="12038" max="12290" width="11.44140625" style="286"/>
    <col min="12291" max="12291" width="13.109375" style="286" bestFit="1" customWidth="1"/>
    <col min="12292" max="12292" width="10.88671875" style="286" bestFit="1" customWidth="1"/>
    <col min="12293" max="12293" width="11.44140625" style="286" customWidth="1"/>
    <col min="12294" max="12546" width="11.44140625" style="286"/>
    <col min="12547" max="12547" width="13.109375" style="286" bestFit="1" customWidth="1"/>
    <col min="12548" max="12548" width="10.88671875" style="286" bestFit="1" customWidth="1"/>
    <col min="12549" max="12549" width="11.44140625" style="286" customWidth="1"/>
    <col min="12550" max="12802" width="11.44140625" style="286"/>
    <col min="12803" max="12803" width="13.109375" style="286" bestFit="1" customWidth="1"/>
    <col min="12804" max="12804" width="10.88671875" style="286" bestFit="1" customWidth="1"/>
    <col min="12805" max="12805" width="11.44140625" style="286" customWidth="1"/>
    <col min="12806" max="13058" width="11.44140625" style="286"/>
    <col min="13059" max="13059" width="13.109375" style="286" bestFit="1" customWidth="1"/>
    <col min="13060" max="13060" width="10.88671875" style="286" bestFit="1" customWidth="1"/>
    <col min="13061" max="13061" width="11.44140625" style="286" customWidth="1"/>
    <col min="13062" max="13314" width="11.44140625" style="286"/>
    <col min="13315" max="13315" width="13.109375" style="286" bestFit="1" customWidth="1"/>
    <col min="13316" max="13316" width="10.88671875" style="286" bestFit="1" customWidth="1"/>
    <col min="13317" max="13317" width="11.44140625" style="286" customWidth="1"/>
    <col min="13318" max="13570" width="11.44140625" style="286"/>
    <col min="13571" max="13571" width="13.109375" style="286" bestFit="1" customWidth="1"/>
    <col min="13572" max="13572" width="10.88671875" style="286" bestFit="1" customWidth="1"/>
    <col min="13573" max="13573" width="11.44140625" style="286" customWidth="1"/>
    <col min="13574" max="13826" width="11.44140625" style="286"/>
    <col min="13827" max="13827" width="13.109375" style="286" bestFit="1" customWidth="1"/>
    <col min="13828" max="13828" width="10.88671875" style="286" bestFit="1" customWidth="1"/>
    <col min="13829" max="13829" width="11.44140625" style="286" customWidth="1"/>
    <col min="13830" max="14082" width="11.44140625" style="286"/>
    <col min="14083" max="14083" width="13.109375" style="286" bestFit="1" customWidth="1"/>
    <col min="14084" max="14084" width="10.88671875" style="286" bestFit="1" customWidth="1"/>
    <col min="14085" max="14085" width="11.44140625" style="286" customWidth="1"/>
    <col min="14086" max="14338" width="11.44140625" style="286"/>
    <col min="14339" max="14339" width="13.109375" style="286" bestFit="1" customWidth="1"/>
    <col min="14340" max="14340" width="10.88671875" style="286" bestFit="1" customWidth="1"/>
    <col min="14341" max="14341" width="11.44140625" style="286" customWidth="1"/>
    <col min="14342" max="14594" width="11.44140625" style="286"/>
    <col min="14595" max="14595" width="13.109375" style="286" bestFit="1" customWidth="1"/>
    <col min="14596" max="14596" width="10.88671875" style="286" bestFit="1" customWidth="1"/>
    <col min="14597" max="14597" width="11.44140625" style="286" customWidth="1"/>
    <col min="14598" max="14850" width="11.44140625" style="286"/>
    <col min="14851" max="14851" width="13.109375" style="286" bestFit="1" customWidth="1"/>
    <col min="14852" max="14852" width="10.88671875" style="286" bestFit="1" customWidth="1"/>
    <col min="14853" max="14853" width="11.44140625" style="286" customWidth="1"/>
    <col min="14854" max="15106" width="11.44140625" style="286"/>
    <col min="15107" max="15107" width="13.109375" style="286" bestFit="1" customWidth="1"/>
    <col min="15108" max="15108" width="10.88671875" style="286" bestFit="1" customWidth="1"/>
    <col min="15109" max="15109" width="11.44140625" style="286" customWidth="1"/>
    <col min="15110" max="15362" width="11.44140625" style="286"/>
    <col min="15363" max="15363" width="13.109375" style="286" bestFit="1" customWidth="1"/>
    <col min="15364" max="15364" width="10.88671875" style="286" bestFit="1" customWidth="1"/>
    <col min="15365" max="15365" width="11.44140625" style="286" customWidth="1"/>
    <col min="15366" max="15618" width="11.44140625" style="286"/>
    <col min="15619" max="15619" width="13.109375" style="286" bestFit="1" customWidth="1"/>
    <col min="15620" max="15620" width="10.88671875" style="286" bestFit="1" customWidth="1"/>
    <col min="15621" max="15621" width="11.44140625" style="286" customWidth="1"/>
    <col min="15622" max="15874" width="11.44140625" style="286"/>
    <col min="15875" max="15875" width="13.109375" style="286" bestFit="1" customWidth="1"/>
    <col min="15876" max="15876" width="10.88671875" style="286" bestFit="1" customWidth="1"/>
    <col min="15877" max="15877" width="11.44140625" style="286" customWidth="1"/>
    <col min="15878" max="16130" width="11.44140625" style="286"/>
    <col min="16131" max="16131" width="13.109375" style="286" bestFit="1" customWidth="1"/>
    <col min="16132" max="16132" width="10.88671875" style="286" bestFit="1" customWidth="1"/>
    <col min="16133" max="16133" width="11.44140625" style="286" customWidth="1"/>
    <col min="16134" max="16384" width="11.44140625" style="286"/>
  </cols>
  <sheetData>
    <row r="1" spans="1:12" x14ac:dyDescent="0.5">
      <c r="A1" s="286" t="str">
        <f>'(TOV1) Export ventes'!A36</f>
        <v>"05004054"</v>
      </c>
      <c r="B1" s="313">
        <v>1</v>
      </c>
      <c r="C1" s="286" t="s">
        <v>1085</v>
      </c>
      <c r="D1" s="314" t="str">
        <f>CONCATENATE(Exploitation!$B$2,"01")</f>
        <v>202301</v>
      </c>
      <c r="E1" s="314" t="str">
        <f>CONCATENATE(Exploitation!$B$2,"02")</f>
        <v>202302</v>
      </c>
      <c r="F1" s="286">
        <v>30</v>
      </c>
      <c r="G1" s="286">
        <v>10</v>
      </c>
      <c r="H1" s="315">
        <f>' Elevage'!E16</f>
        <v>0</v>
      </c>
      <c r="I1" s="315">
        <f>' Elevage'!F16</f>
        <v>0</v>
      </c>
      <c r="J1" s="315">
        <v>0</v>
      </c>
      <c r="K1" s="315">
        <f>' Elevage'!G16</f>
        <v>0</v>
      </c>
      <c r="L1" s="286">
        <f>' Elevage'!H16</f>
        <v>0</v>
      </c>
    </row>
    <row r="2" spans="1:12" x14ac:dyDescent="0.5">
      <c r="A2" s="286" t="str">
        <f>'(TOV1) Export ventes'!A37</f>
        <v>"05004054"</v>
      </c>
      <c r="B2" s="313">
        <v>2</v>
      </c>
      <c r="C2" s="286" t="s">
        <v>1086</v>
      </c>
      <c r="D2" s="314" t="str">
        <f>CONCATENATE(Exploitation!$B$2,"03")</f>
        <v>202303</v>
      </c>
      <c r="E2" s="314" t="str">
        <f>CONCATENATE(Exploitation!$B$2,"05")</f>
        <v>202305</v>
      </c>
      <c r="F2" s="286">
        <v>30</v>
      </c>
      <c r="G2" s="286">
        <v>10</v>
      </c>
      <c r="H2" s="315">
        <f>' Elevage'!E17</f>
        <v>0</v>
      </c>
      <c r="I2" s="315">
        <f>' Elevage'!F17</f>
        <v>0</v>
      </c>
      <c r="J2" s="315">
        <v>0</v>
      </c>
      <c r="K2" s="315">
        <f>' Elevage'!G17</f>
        <v>0</v>
      </c>
      <c r="L2" s="286">
        <f>' Elevage'!H17</f>
        <v>0</v>
      </c>
    </row>
    <row r="3" spans="1:12" x14ac:dyDescent="0.5">
      <c r="A3" s="286" t="str">
        <f>'(TOV1) Export ventes'!A38</f>
        <v>"05004054"</v>
      </c>
      <c r="B3" s="313">
        <v>3</v>
      </c>
      <c r="C3" s="286" t="s">
        <v>1087</v>
      </c>
      <c r="D3" s="314" t="str">
        <f>CONCATENATE(Exploitation!$B$2,"08")</f>
        <v>202308</v>
      </c>
      <c r="E3" s="314" t="str">
        <f>CONCATENATE(Exploitation!$B$2,"09")</f>
        <v>202309</v>
      </c>
      <c r="F3" s="286">
        <v>30</v>
      </c>
      <c r="G3" s="286">
        <v>10</v>
      </c>
      <c r="H3" s="315">
        <f>' Elevage'!E18</f>
        <v>0</v>
      </c>
      <c r="I3" s="315">
        <f>' Elevage'!F18</f>
        <v>0</v>
      </c>
      <c r="J3" s="315">
        <v>0</v>
      </c>
      <c r="K3" s="315">
        <f>' Elevage'!G18</f>
        <v>0</v>
      </c>
      <c r="L3" s="286">
        <f>' Elevage'!H18</f>
        <v>0</v>
      </c>
    </row>
    <row r="4" spans="1:12" x14ac:dyDescent="0.5">
      <c r="A4" s="286" t="str">
        <f>'(TOV1) Export ventes'!A39</f>
        <v>"05004054"</v>
      </c>
      <c r="B4" s="313">
        <v>4</v>
      </c>
      <c r="C4" s="286" t="s">
        <v>1088</v>
      </c>
      <c r="D4" s="314" t="str">
        <f>CONCATENATE(Exploitation!$B$2,"11")</f>
        <v>202311</v>
      </c>
      <c r="E4" s="314" t="str">
        <f>CONCATENATE(Exploitation!$B$2,"12")</f>
        <v>202312</v>
      </c>
      <c r="F4" s="286">
        <v>30</v>
      </c>
      <c r="G4" s="286">
        <v>10</v>
      </c>
      <c r="H4" s="315">
        <f>' Elevage'!E19</f>
        <v>0</v>
      </c>
      <c r="I4" s="315">
        <f>' Elevage'!F19</f>
        <v>0</v>
      </c>
      <c r="J4" s="315">
        <v>0</v>
      </c>
      <c r="K4" s="315">
        <f>' Elevage'!G19</f>
        <v>0</v>
      </c>
      <c r="L4" s="286">
        <f>' Elevage'!H19</f>
        <v>0</v>
      </c>
    </row>
    <row r="5" spans="1:12" x14ac:dyDescent="0.5">
      <c r="A5" s="286" t="str">
        <f>'(TOV1) Export ventes'!A40</f>
        <v>"05004054"</v>
      </c>
      <c r="B5" s="313">
        <v>4</v>
      </c>
      <c r="C5" s="286" t="s">
        <v>1089</v>
      </c>
      <c r="D5" s="314" t="str">
        <f>CONCATENATE(Exploitation!$B$2,"01")</f>
        <v>202301</v>
      </c>
      <c r="E5" s="314" t="str">
        <f>CONCATENATE(Exploitation!$B$2,"12")</f>
        <v>202312</v>
      </c>
      <c r="F5" s="286">
        <v>30</v>
      </c>
      <c r="G5" s="286">
        <v>10</v>
      </c>
      <c r="H5" s="315">
        <v>0</v>
      </c>
      <c r="I5" s="315">
        <v>0</v>
      </c>
      <c r="J5" s="315">
        <v>0</v>
      </c>
      <c r="K5" s="315">
        <v>0</v>
      </c>
      <c r="L5" s="286">
        <f>' Elevage'!H12</f>
        <v>0</v>
      </c>
    </row>
    <row r="6" spans="1:12" ht="13.8" thickBot="1" x14ac:dyDescent="0.55000000000000004"/>
    <row r="7" spans="1:12" ht="55.8" thickBot="1" x14ac:dyDescent="0.55000000000000004">
      <c r="A7" s="316" t="s">
        <v>1035</v>
      </c>
      <c r="B7" s="317" t="s">
        <v>1090</v>
      </c>
      <c r="C7" s="317" t="s">
        <v>1091</v>
      </c>
      <c r="D7" s="318" t="s">
        <v>1092</v>
      </c>
      <c r="E7" s="318" t="s">
        <v>1093</v>
      </c>
      <c r="F7" s="317" t="s">
        <v>1094</v>
      </c>
      <c r="G7" s="317" t="s">
        <v>1095</v>
      </c>
      <c r="H7" s="317" t="s">
        <v>1096</v>
      </c>
      <c r="I7" s="317" t="s">
        <v>1097</v>
      </c>
      <c r="J7" s="317" t="s">
        <v>1098</v>
      </c>
      <c r="K7" s="317" t="s">
        <v>1099</v>
      </c>
      <c r="L7" s="319" t="s">
        <v>1100</v>
      </c>
    </row>
    <row r="9" spans="1:12" hidden="1" x14ac:dyDescent="0.5">
      <c r="B9" s="286" t="s">
        <v>1039</v>
      </c>
      <c r="C9" s="286" t="s">
        <v>1101</v>
      </c>
      <c r="D9" s="314" t="s">
        <v>1039</v>
      </c>
      <c r="F9" s="286" t="str">
        <f>CONCATENATE(B9,C9,D9)</f>
        <v>"PRINTEMPS"</v>
      </c>
    </row>
    <row r="10" spans="1:12" hidden="1" x14ac:dyDescent="0.5">
      <c r="B10" s="286" t="s">
        <v>1039</v>
      </c>
      <c r="C10" s="286" t="s">
        <v>1102</v>
      </c>
      <c r="D10" s="314" t="s">
        <v>1039</v>
      </c>
      <c r="F10" s="286" t="str">
        <f>CONCATENATE(B10,C10,D10)</f>
        <v>"Lutte estive"</v>
      </c>
    </row>
    <row r="11" spans="1:12" hidden="1" x14ac:dyDescent="0.5">
      <c r="B11" s="286" t="s">
        <v>1039</v>
      </c>
      <c r="C11" s="286" t="s">
        <v>1103</v>
      </c>
      <c r="D11" s="314" t="s">
        <v>1039</v>
      </c>
      <c r="F11" s="286" t="str">
        <f>CONCATENATE(B11,C11,D11)</f>
        <v>"AUTOMNE"</v>
      </c>
    </row>
    <row r="12" spans="1:12" x14ac:dyDescent="0.5">
      <c r="C12" s="289"/>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81360-2007-431C-BEAB-B710A9267FFF}">
  <dimension ref="A1:J10"/>
  <sheetViews>
    <sheetView workbookViewId="0">
      <selection activeCell="G14" sqref="G14"/>
    </sheetView>
  </sheetViews>
  <sheetFormatPr baseColWidth="10" defaultColWidth="11" defaultRowHeight="30" customHeight="1" x14ac:dyDescent="0.5"/>
  <cols>
    <col min="1" max="1" width="29" style="286" bestFit="1" customWidth="1"/>
    <col min="2" max="256" width="11.44140625" style="286"/>
    <col min="257" max="257" width="29" style="286" bestFit="1" customWidth="1"/>
    <col min="258" max="512" width="11.44140625" style="286"/>
    <col min="513" max="513" width="29" style="286" bestFit="1" customWidth="1"/>
    <col min="514" max="768" width="11.44140625" style="286"/>
    <col min="769" max="769" width="29" style="286" bestFit="1" customWidth="1"/>
    <col min="770" max="1024" width="11.44140625" style="286"/>
    <col min="1025" max="1025" width="29" style="286" bestFit="1" customWidth="1"/>
    <col min="1026" max="1280" width="11.44140625" style="286"/>
    <col min="1281" max="1281" width="29" style="286" bestFit="1" customWidth="1"/>
    <col min="1282" max="1536" width="11.44140625" style="286"/>
    <col min="1537" max="1537" width="29" style="286" bestFit="1" customWidth="1"/>
    <col min="1538" max="1792" width="11.44140625" style="286"/>
    <col min="1793" max="1793" width="29" style="286" bestFit="1" customWidth="1"/>
    <col min="1794" max="2048" width="11.44140625" style="286"/>
    <col min="2049" max="2049" width="29" style="286" bestFit="1" customWidth="1"/>
    <col min="2050" max="2304" width="11.44140625" style="286"/>
    <col min="2305" max="2305" width="29" style="286" bestFit="1" customWidth="1"/>
    <col min="2306" max="2560" width="11.44140625" style="286"/>
    <col min="2561" max="2561" width="29" style="286" bestFit="1" customWidth="1"/>
    <col min="2562" max="2816" width="11.44140625" style="286"/>
    <col min="2817" max="2817" width="29" style="286" bestFit="1" customWidth="1"/>
    <col min="2818" max="3072" width="11.44140625" style="286"/>
    <col min="3073" max="3073" width="29" style="286" bestFit="1" customWidth="1"/>
    <col min="3074" max="3328" width="11.44140625" style="286"/>
    <col min="3329" max="3329" width="29" style="286" bestFit="1" customWidth="1"/>
    <col min="3330" max="3584" width="11.44140625" style="286"/>
    <col min="3585" max="3585" width="29" style="286" bestFit="1" customWidth="1"/>
    <col min="3586" max="3840" width="11.44140625" style="286"/>
    <col min="3841" max="3841" width="29" style="286" bestFit="1" customWidth="1"/>
    <col min="3842" max="4096" width="11.44140625" style="286"/>
    <col min="4097" max="4097" width="29" style="286" bestFit="1" customWidth="1"/>
    <col min="4098" max="4352" width="11.44140625" style="286"/>
    <col min="4353" max="4353" width="29" style="286" bestFit="1" customWidth="1"/>
    <col min="4354" max="4608" width="11.44140625" style="286"/>
    <col min="4609" max="4609" width="29" style="286" bestFit="1" customWidth="1"/>
    <col min="4610" max="4864" width="11.44140625" style="286"/>
    <col min="4865" max="4865" width="29" style="286" bestFit="1" customWidth="1"/>
    <col min="4866" max="5120" width="11.44140625" style="286"/>
    <col min="5121" max="5121" width="29" style="286" bestFit="1" customWidth="1"/>
    <col min="5122" max="5376" width="11.44140625" style="286"/>
    <col min="5377" max="5377" width="29" style="286" bestFit="1" customWidth="1"/>
    <col min="5378" max="5632" width="11.44140625" style="286"/>
    <col min="5633" max="5633" width="29" style="286" bestFit="1" customWidth="1"/>
    <col min="5634" max="5888" width="11.44140625" style="286"/>
    <col min="5889" max="5889" width="29" style="286" bestFit="1" customWidth="1"/>
    <col min="5890" max="6144" width="11.44140625" style="286"/>
    <col min="6145" max="6145" width="29" style="286" bestFit="1" customWidth="1"/>
    <col min="6146" max="6400" width="11.44140625" style="286"/>
    <col min="6401" max="6401" width="29" style="286" bestFit="1" customWidth="1"/>
    <col min="6402" max="6656" width="11.44140625" style="286"/>
    <col min="6657" max="6657" width="29" style="286" bestFit="1" customWidth="1"/>
    <col min="6658" max="6912" width="11.44140625" style="286"/>
    <col min="6913" max="6913" width="29" style="286" bestFit="1" customWidth="1"/>
    <col min="6914" max="7168" width="11.44140625" style="286"/>
    <col min="7169" max="7169" width="29" style="286" bestFit="1" customWidth="1"/>
    <col min="7170" max="7424" width="11.44140625" style="286"/>
    <col min="7425" max="7425" width="29" style="286" bestFit="1" customWidth="1"/>
    <col min="7426" max="7680" width="11.44140625" style="286"/>
    <col min="7681" max="7681" width="29" style="286" bestFit="1" customWidth="1"/>
    <col min="7682" max="7936" width="11.44140625" style="286"/>
    <col min="7937" max="7937" width="29" style="286" bestFit="1" customWidth="1"/>
    <col min="7938" max="8192" width="11.44140625" style="286"/>
    <col min="8193" max="8193" width="29" style="286" bestFit="1" customWidth="1"/>
    <col min="8194" max="8448" width="11.44140625" style="286"/>
    <col min="8449" max="8449" width="29" style="286" bestFit="1" customWidth="1"/>
    <col min="8450" max="8704" width="11.44140625" style="286"/>
    <col min="8705" max="8705" width="29" style="286" bestFit="1" customWidth="1"/>
    <col min="8706" max="8960" width="11.44140625" style="286"/>
    <col min="8961" max="8961" width="29" style="286" bestFit="1" customWidth="1"/>
    <col min="8962" max="9216" width="11.44140625" style="286"/>
    <col min="9217" max="9217" width="29" style="286" bestFit="1" customWidth="1"/>
    <col min="9218" max="9472" width="11.44140625" style="286"/>
    <col min="9473" max="9473" width="29" style="286" bestFit="1" customWidth="1"/>
    <col min="9474" max="9728" width="11.44140625" style="286"/>
    <col min="9729" max="9729" width="29" style="286" bestFit="1" customWidth="1"/>
    <col min="9730" max="9984" width="11.44140625" style="286"/>
    <col min="9985" max="9985" width="29" style="286" bestFit="1" customWidth="1"/>
    <col min="9986" max="10240" width="11.44140625" style="286"/>
    <col min="10241" max="10241" width="29" style="286" bestFit="1" customWidth="1"/>
    <col min="10242" max="10496" width="11.44140625" style="286"/>
    <col min="10497" max="10497" width="29" style="286" bestFit="1" customWidth="1"/>
    <col min="10498" max="10752" width="11.44140625" style="286"/>
    <col min="10753" max="10753" width="29" style="286" bestFit="1" customWidth="1"/>
    <col min="10754" max="11008" width="11.44140625" style="286"/>
    <col min="11009" max="11009" width="29" style="286" bestFit="1" customWidth="1"/>
    <col min="11010" max="11264" width="11.44140625" style="286"/>
    <col min="11265" max="11265" width="29" style="286" bestFit="1" customWidth="1"/>
    <col min="11266" max="11520" width="11.44140625" style="286"/>
    <col min="11521" max="11521" width="29" style="286" bestFit="1" customWidth="1"/>
    <col min="11522" max="11776" width="11.44140625" style="286"/>
    <col min="11777" max="11777" width="29" style="286" bestFit="1" customWidth="1"/>
    <col min="11778" max="12032" width="11.44140625" style="286"/>
    <col min="12033" max="12033" width="29" style="286" bestFit="1" customWidth="1"/>
    <col min="12034" max="12288" width="11.44140625" style="286"/>
    <col min="12289" max="12289" width="29" style="286" bestFit="1" customWidth="1"/>
    <col min="12290" max="12544" width="11.44140625" style="286"/>
    <col min="12545" max="12545" width="29" style="286" bestFit="1" customWidth="1"/>
    <col min="12546" max="12800" width="11.44140625" style="286"/>
    <col min="12801" max="12801" width="29" style="286" bestFit="1" customWidth="1"/>
    <col min="12802" max="13056" width="11.44140625" style="286"/>
    <col min="13057" max="13057" width="29" style="286" bestFit="1" customWidth="1"/>
    <col min="13058" max="13312" width="11.44140625" style="286"/>
    <col min="13313" max="13313" width="29" style="286" bestFit="1" customWidth="1"/>
    <col min="13314" max="13568" width="11.44140625" style="286"/>
    <col min="13569" max="13569" width="29" style="286" bestFit="1" customWidth="1"/>
    <col min="13570" max="13824" width="11.44140625" style="286"/>
    <col min="13825" max="13825" width="29" style="286" bestFit="1" customWidth="1"/>
    <col min="13826" max="14080" width="11.44140625" style="286"/>
    <col min="14081" max="14081" width="29" style="286" bestFit="1" customWidth="1"/>
    <col min="14082" max="14336" width="11.44140625" style="286"/>
    <col min="14337" max="14337" width="29" style="286" bestFit="1" customWidth="1"/>
    <col min="14338" max="14592" width="11.44140625" style="286"/>
    <col min="14593" max="14593" width="29" style="286" bestFit="1" customWidth="1"/>
    <col min="14594" max="14848" width="11.44140625" style="286"/>
    <col min="14849" max="14849" width="29" style="286" bestFit="1" customWidth="1"/>
    <col min="14850" max="15104" width="11.44140625" style="286"/>
    <col min="15105" max="15105" width="29" style="286" bestFit="1" customWidth="1"/>
    <col min="15106" max="15360" width="11.44140625" style="286"/>
    <col min="15361" max="15361" width="29" style="286" bestFit="1" customWidth="1"/>
    <col min="15362" max="15616" width="11.44140625" style="286"/>
    <col min="15617" max="15617" width="29" style="286" bestFit="1" customWidth="1"/>
    <col min="15618" max="15872" width="11.44140625" style="286"/>
    <col min="15873" max="15873" width="29" style="286" bestFit="1" customWidth="1"/>
    <col min="15874" max="16128" width="11.44140625" style="286"/>
    <col min="16129" max="16129" width="29" style="286" bestFit="1" customWidth="1"/>
    <col min="16130" max="16384" width="11.44140625" style="286"/>
  </cols>
  <sheetData>
    <row r="1" spans="1:10" ht="30" customHeight="1" x14ac:dyDescent="0.5">
      <c r="A1" s="305" t="str">
        <f>'(TOV1) Export Achat'!$A$1</f>
        <v>"0"</v>
      </c>
      <c r="B1" s="306" t="str">
        <f>'(TOV1) Export Achat'!$B$35</f>
        <v>20230101</v>
      </c>
      <c r="C1" s="292" t="s">
        <v>1000</v>
      </c>
      <c r="D1" s="305">
        <f>' Elevage'!C3-' Elevage'!C4</f>
        <v>0</v>
      </c>
      <c r="E1" s="305">
        <v>80</v>
      </c>
      <c r="F1" s="305">
        <f t="shared" ref="F1:F9" si="0">D1*E1</f>
        <v>0</v>
      </c>
      <c r="G1" s="305">
        <f>' Elevage'!O3-' Elevage'!O4</f>
        <v>0</v>
      </c>
      <c r="H1" s="305">
        <v>80</v>
      </c>
      <c r="I1" s="305">
        <f t="shared" ref="I1:I9" si="1">H1*G1</f>
        <v>0</v>
      </c>
      <c r="J1" s="305">
        <f t="shared" ref="J1:J9" si="2">I1-F1</f>
        <v>0</v>
      </c>
    </row>
    <row r="2" spans="1:10" ht="30" customHeight="1" x14ac:dyDescent="0.5">
      <c r="A2" s="305" t="str">
        <f>'(TOV1) Export Achat'!$A$1</f>
        <v>"0"</v>
      </c>
      <c r="B2" s="306" t="str">
        <f>'(TOV1) Export Achat'!$B$35</f>
        <v>20230101</v>
      </c>
      <c r="C2" s="292" t="s">
        <v>1059</v>
      </c>
      <c r="D2" s="305">
        <f>' Elevage'!P12</f>
        <v>0</v>
      </c>
      <c r="E2" s="305">
        <v>350</v>
      </c>
      <c r="F2" s="305">
        <f t="shared" si="0"/>
        <v>0</v>
      </c>
      <c r="G2" s="305">
        <f>' Elevage'!U12</f>
        <v>0</v>
      </c>
      <c r="H2" s="305">
        <v>350</v>
      </c>
      <c r="I2" s="305">
        <f t="shared" si="1"/>
        <v>0</v>
      </c>
      <c r="J2" s="305">
        <f t="shared" si="2"/>
        <v>0</v>
      </c>
    </row>
    <row r="3" spans="1:10" ht="30" customHeight="1" x14ac:dyDescent="0.5">
      <c r="A3" s="305" t="str">
        <f>'(TOV1) Export Achat'!$A$1</f>
        <v>"0"</v>
      </c>
      <c r="B3" s="306" t="str">
        <f>'(TOV1) Export Achat'!$B$35</f>
        <v>20230101</v>
      </c>
      <c r="C3" s="292" t="s">
        <v>1069</v>
      </c>
      <c r="D3" s="305">
        <f>' Elevage'!C6</f>
        <v>0</v>
      </c>
      <c r="E3" s="305">
        <v>130</v>
      </c>
      <c r="F3" s="305">
        <f t="shared" si="0"/>
        <v>0</v>
      </c>
      <c r="G3" s="305">
        <f>' Elevage'!O5</f>
        <v>0</v>
      </c>
      <c r="H3" s="305">
        <v>130</v>
      </c>
      <c r="I3" s="305">
        <f t="shared" si="1"/>
        <v>0</v>
      </c>
      <c r="J3" s="305">
        <f t="shared" si="2"/>
        <v>0</v>
      </c>
    </row>
    <row r="4" spans="1:10" ht="30" customHeight="1" x14ac:dyDescent="0.5">
      <c r="A4" s="305" t="str">
        <f>'(TOV1) Export Achat'!$A$1</f>
        <v>"0"</v>
      </c>
      <c r="B4" s="306" t="str">
        <f>'(TOV1) Export Achat'!$B$35</f>
        <v>20230101</v>
      </c>
      <c r="C4" s="292" t="s">
        <v>1034</v>
      </c>
      <c r="D4" s="305"/>
      <c r="E4" s="305"/>
      <c r="F4" s="305">
        <f t="shared" si="0"/>
        <v>0</v>
      </c>
      <c r="G4" s="305"/>
      <c r="H4" s="305"/>
      <c r="I4" s="305">
        <f t="shared" si="1"/>
        <v>0</v>
      </c>
      <c r="J4" s="305">
        <f t="shared" si="2"/>
        <v>0</v>
      </c>
    </row>
    <row r="5" spans="1:10" ht="30" customHeight="1" x14ac:dyDescent="0.5">
      <c r="A5" s="305" t="str">
        <f>'(TOV1) Export Achat'!$A$1</f>
        <v>"0"</v>
      </c>
      <c r="B5" s="306" t="str">
        <f>'(TOV1) Export Achat'!$B$35</f>
        <v>20230101</v>
      </c>
      <c r="C5" s="292" t="s">
        <v>1016</v>
      </c>
      <c r="D5" s="305"/>
      <c r="E5" s="305"/>
      <c r="F5" s="305">
        <f t="shared" si="0"/>
        <v>0</v>
      </c>
      <c r="G5" s="305"/>
      <c r="H5" s="305"/>
      <c r="I5" s="305">
        <f t="shared" si="1"/>
        <v>0</v>
      </c>
      <c r="J5" s="305">
        <f t="shared" si="2"/>
        <v>0</v>
      </c>
    </row>
    <row r="6" spans="1:10" ht="30" customHeight="1" x14ac:dyDescent="0.5">
      <c r="A6" s="305" t="str">
        <f>'(TOV1) Export Achat'!$A$1</f>
        <v>"0"</v>
      </c>
      <c r="B6" s="306" t="str">
        <f>'(TOV1) Export Achat'!$B$35</f>
        <v>20230101</v>
      </c>
      <c r="C6" s="292" t="s">
        <v>1019</v>
      </c>
      <c r="D6" s="305"/>
      <c r="E6" s="305"/>
      <c r="F6" s="305">
        <f t="shared" si="0"/>
        <v>0</v>
      </c>
      <c r="G6" s="305"/>
      <c r="H6" s="305"/>
      <c r="I6" s="305">
        <f t="shared" si="1"/>
        <v>0</v>
      </c>
      <c r="J6" s="305">
        <f t="shared" si="2"/>
        <v>0</v>
      </c>
    </row>
    <row r="7" spans="1:10" ht="30" customHeight="1" x14ac:dyDescent="0.5">
      <c r="A7" s="305" t="str">
        <f>'(TOV1) Export Achat'!$A$1</f>
        <v>"0"</v>
      </c>
      <c r="B7" s="306" t="str">
        <f>'(TOV1) Export Achat'!$B$35</f>
        <v>20230101</v>
      </c>
      <c r="C7" s="292" t="s">
        <v>1104</v>
      </c>
      <c r="D7" s="305">
        <f>' Elevage'!E12</f>
        <v>0</v>
      </c>
      <c r="E7" s="307" t="e">
        <f>0.9*'Bilan simplifié'!$J$24:$L$24</f>
        <v>#VALUE!</v>
      </c>
      <c r="F7" s="307" t="e">
        <f>D7*E7</f>
        <v>#VALUE!</v>
      </c>
      <c r="G7" s="308">
        <f>' Elevage'!M12</f>
        <v>0</v>
      </c>
      <c r="H7" s="307" t="e">
        <f>E7</f>
        <v>#VALUE!</v>
      </c>
      <c r="I7" s="307" t="e">
        <f t="shared" si="1"/>
        <v>#VALUE!</v>
      </c>
      <c r="J7" s="307" t="e">
        <f t="shared" si="2"/>
        <v>#VALUE!</v>
      </c>
    </row>
    <row r="8" spans="1:10" ht="30" customHeight="1" x14ac:dyDescent="0.5">
      <c r="A8" s="305" t="str">
        <f>'(TOV1) Export Achat'!$A$1</f>
        <v>"0"</v>
      </c>
      <c r="B8" s="306" t="str">
        <f>'(TOV1) Export Achat'!$B$35</f>
        <v>20230101</v>
      </c>
      <c r="C8" s="292" t="s">
        <v>1028</v>
      </c>
      <c r="D8" s="305"/>
      <c r="E8" s="305"/>
      <c r="F8" s="305">
        <f t="shared" si="0"/>
        <v>0</v>
      </c>
      <c r="G8" s="305"/>
      <c r="H8" s="305"/>
      <c r="I8" s="305">
        <f t="shared" si="1"/>
        <v>0</v>
      </c>
      <c r="J8" s="305">
        <f t="shared" si="2"/>
        <v>0</v>
      </c>
    </row>
    <row r="9" spans="1:10" ht="30" customHeight="1" x14ac:dyDescent="0.5">
      <c r="A9" s="305" t="str">
        <f>'(TOV1) Export Achat'!$A$1</f>
        <v>"0"</v>
      </c>
      <c r="B9" s="306" t="str">
        <f>'(TOV1) Export Achat'!$B$35</f>
        <v>20230101</v>
      </c>
      <c r="C9" s="292" t="s">
        <v>1105</v>
      </c>
      <c r="D9" s="305"/>
      <c r="E9" s="305"/>
      <c r="F9" s="305">
        <f t="shared" si="0"/>
        <v>0</v>
      </c>
      <c r="G9" s="305"/>
      <c r="H9" s="305"/>
      <c r="I9" s="305">
        <f t="shared" si="1"/>
        <v>0</v>
      </c>
      <c r="J9" s="305">
        <f t="shared" si="2"/>
        <v>0</v>
      </c>
    </row>
    <row r="10" spans="1:10" ht="30" customHeight="1" x14ac:dyDescent="0.5">
      <c r="A10" s="292" t="s">
        <v>1035</v>
      </c>
      <c r="B10" s="292" t="s">
        <v>109</v>
      </c>
      <c r="C10" s="292" t="s">
        <v>1106</v>
      </c>
      <c r="D10" s="292" t="s">
        <v>1107</v>
      </c>
      <c r="E10" s="292" t="s">
        <v>1108</v>
      </c>
      <c r="F10" s="292" t="s">
        <v>1109</v>
      </c>
      <c r="G10" s="292" t="s">
        <v>1110</v>
      </c>
      <c r="H10" s="292" t="s">
        <v>1111</v>
      </c>
      <c r="I10" s="292" t="s">
        <v>1112</v>
      </c>
      <c r="J10" s="292" t="s">
        <v>1113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59511263-065a-4296-86f4-9aab9914fc34" xsi:nil="true"/>
    <lcf76f155ced4ddcb4097134ff3c332f xmlns="f6e206fd-d76a-426d-a01f-1851b916f7d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A4D7E09C2116B4EA0E7A5B6F37C220D" ma:contentTypeVersion="16" ma:contentTypeDescription="Crée un document." ma:contentTypeScope="" ma:versionID="22d75dc0bf9308d8ad83e2740c62196b">
  <xsd:schema xmlns:xsd="http://www.w3.org/2001/XMLSchema" xmlns:xs="http://www.w3.org/2001/XMLSchema" xmlns:p="http://schemas.microsoft.com/office/2006/metadata/properties" xmlns:ns2="f6e206fd-d76a-426d-a01f-1851b916f7d5" xmlns:ns3="59511263-065a-4296-86f4-9aab9914fc34" targetNamespace="http://schemas.microsoft.com/office/2006/metadata/properties" ma:root="true" ma:fieldsID="0f197dbe293b36939bac73b407cc5bcd" ns2:_="" ns3:_="">
    <xsd:import namespace="f6e206fd-d76a-426d-a01f-1851b916f7d5"/>
    <xsd:import namespace="59511263-065a-4296-86f4-9aab9914fc3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e206fd-d76a-426d-a01f-1851b916f7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eb5c355e-ed80-4533-9a92-f7b2a1d1a8a0"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511263-065a-4296-86f4-9aab9914fc34"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0" nillable="true" ma:displayName="Taxonomy Catch All Column" ma:hidden="true" ma:list="{3812a42c-dcfb-4c5c-a14a-6c829de71b27}" ma:internalName="TaxCatchAll" ma:showField="CatchAllData" ma:web="59511263-065a-4296-86f4-9aab9914fc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65EC1B-80F0-4D44-A42C-F3ED2131F17B}">
  <ds:schemaRefs>
    <ds:schemaRef ds:uri="http://schemas.microsoft.com/DataMashup"/>
  </ds:schemaRefs>
</ds:datastoreItem>
</file>

<file path=customXml/itemProps2.xml><?xml version="1.0" encoding="utf-8"?>
<ds:datastoreItem xmlns:ds="http://schemas.openxmlformats.org/officeDocument/2006/customXml" ds:itemID="{2870EA8A-6D12-4121-A566-4A7DA3E6136D}">
  <ds:schemaRefs>
    <ds:schemaRef ds:uri="http://schemas.microsoft.com/office/2006/metadata/properties"/>
    <ds:schemaRef ds:uri="http://schemas.microsoft.com/office/infopath/2007/PartnerControls"/>
    <ds:schemaRef ds:uri="59511263-065a-4296-86f4-9aab9914fc34"/>
    <ds:schemaRef ds:uri="f6e206fd-d76a-426d-a01f-1851b916f7d5"/>
  </ds:schemaRefs>
</ds:datastoreItem>
</file>

<file path=customXml/itemProps3.xml><?xml version="1.0" encoding="utf-8"?>
<ds:datastoreItem xmlns:ds="http://schemas.openxmlformats.org/officeDocument/2006/customXml" ds:itemID="{A03F78A4-F4B7-4866-AF2A-9835065CEBF0}">
  <ds:schemaRefs>
    <ds:schemaRef ds:uri="http://schemas.microsoft.com/sharepoint/v3/contenttype/forms"/>
  </ds:schemaRefs>
</ds:datastoreItem>
</file>

<file path=customXml/itemProps4.xml><?xml version="1.0" encoding="utf-8"?>
<ds:datastoreItem xmlns:ds="http://schemas.openxmlformats.org/officeDocument/2006/customXml" ds:itemID="{2CEE4401-4324-4179-8366-9582506E8C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e206fd-d76a-426d-a01f-1851b916f7d5"/>
    <ds:schemaRef ds:uri="59511263-065a-4296-86f4-9aab9914fc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Exploitation</vt:lpstr>
      <vt:lpstr> Elevage</vt:lpstr>
      <vt:lpstr>Produit ovin</vt:lpstr>
      <vt:lpstr>Charges ovin</vt:lpstr>
      <vt:lpstr>Stock et ration </vt:lpstr>
      <vt:lpstr>Autres atelier</vt:lpstr>
      <vt:lpstr>Grandes cultures</vt:lpstr>
      <vt:lpstr>Charges de structure</vt:lpstr>
      <vt:lpstr>Amortissements</vt:lpstr>
      <vt:lpstr>Aides</vt:lpstr>
      <vt:lpstr>Extraction chambre</vt:lpstr>
      <vt:lpstr>Bilan complet</vt:lpstr>
      <vt:lpstr>Bilan simplifié</vt:lpstr>
      <vt:lpstr>Coût de production</vt:lpstr>
      <vt:lpstr>Aide diapason</vt:lpstr>
      <vt:lpstr>Calcule</vt:lpstr>
      <vt:lpstr>Références</vt:lpstr>
      <vt:lpstr>(TOV1) Export Achat</vt:lpstr>
      <vt:lpstr>(TOV1) Export ventes</vt:lpstr>
      <vt:lpstr>(TOV1) Export reproduction</vt:lpstr>
      <vt:lpstr>(TOV1)Export variation de stock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2026-05-05T13:21:05Z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0x0101003A4D7E09C2116B4EA0E7A5B6F37C220D</vt:lpwstr>
  </property>
  <property fmtid="{D5CDD505-2E9C-101B-9397-08002B2CF9AE}" pid="3" name="MediaServiceImageTags">
    <vt:lpwstr/>
  </property>
</Properties>
</file>